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ubchenko.anna\Desktop\Фін. плани 2022\"/>
    </mc:Choice>
  </mc:AlternateContent>
  <bookViews>
    <workbookView xWindow="0" yWindow="0" windowWidth="28800" windowHeight="12435" tabRatio="959"/>
  </bookViews>
  <sheets>
    <sheet name="Фінплан - основні фінпоказники" sheetId="14" r:id="rId1"/>
    <sheet name="I.Розшифрування" sheetId="2" r:id="rId2"/>
    <sheet name="II. Розрахунки з бюджетом" sheetId="19" r:id="rId3"/>
    <sheet name="III. Рух грошових коштів" sheetId="18" r:id="rId4"/>
    <sheet name="IV. Кап. інвестиції" sheetId="3" r:id="rId5"/>
    <sheet name=" V. Коефіцієнтний аналіз" sheetId="22" r:id="rId6"/>
    <sheet name="VI. Інформація до фінплану" sheetId="10" r:id="rId7"/>
    <sheet name="VI. Інформація до фінплану2" sheetId="2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Коефіцієнтний аналіз'!$8:$8</definedName>
    <definedName name="_xlnm.Print_Titles" localSheetId="1">I.Розшифрування!$6:$6</definedName>
    <definedName name="_xlnm.Print_Titles" localSheetId="2">'II. Розрахунки з бюджетом'!$6:$6</definedName>
    <definedName name="_xlnm.Print_Titles" localSheetId="3">'III. Рух грошових коштів'!$6:$6</definedName>
    <definedName name="_xlnm.Print_Titles" localSheetId="0">'Фінплан - основні фінпоказники'!$10:$10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Коефіцієнтний аналіз'!$A$1:$H$18</definedName>
    <definedName name="_xlnm.Print_Area" localSheetId="1">I.Розшифрування!$A$1:$J$167</definedName>
    <definedName name="_xlnm.Print_Area" localSheetId="2">'II. Розрахунки з бюджетом'!$A$1:$J$44</definedName>
    <definedName name="_xlnm.Print_Area" localSheetId="3">'III. Рух грошових коштів'!$A$1:$J$99</definedName>
    <definedName name="_xlnm.Print_Area" localSheetId="4">'IV. Кап. інвестиції'!$A$1:$J$21</definedName>
    <definedName name="_xlnm.Print_Area" localSheetId="7">'VI. Інформація до фінплану2'!$A$1:$AA$45</definedName>
    <definedName name="_xlnm.Print_Area" localSheetId="0">'Фінплан - основні фінпоказники'!$A$1:$J$86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 localSheetId="5">[33]Inform!$G$2</definedName>
    <definedName name="тариф">[34]Inform!$G$2</definedName>
    <definedName name="уйцукйцуйу">#REF!</definedName>
    <definedName name="уке">[35]Inform!$G$2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'[36]БАЗА  '!#REF!</definedName>
    <definedName name="ш">#REF!</definedName>
  </definedNames>
  <calcPr calcId="179021"/>
</workbook>
</file>

<file path=xl/calcChain.xml><?xml version="1.0" encoding="utf-8"?>
<calcChain xmlns="http://schemas.openxmlformats.org/spreadsheetml/2006/main">
  <c r="G156" i="2" l="1"/>
  <c r="G41" i="18" l="1"/>
  <c r="H41" i="18"/>
  <c r="I41" i="18"/>
  <c r="J41" i="18"/>
  <c r="G31" i="19" l="1"/>
  <c r="M24" i="20"/>
  <c r="M23" i="20"/>
  <c r="D35" i="18"/>
  <c r="M25" i="20"/>
  <c r="E38" i="3"/>
  <c r="M16" i="20" l="1"/>
  <c r="G24" i="19"/>
  <c r="F41" i="18"/>
  <c r="H13" i="18"/>
  <c r="I13" i="18"/>
  <c r="J13" i="18"/>
  <c r="G13" i="18"/>
  <c r="Q12" i="20" l="1"/>
  <c r="P12" i="20"/>
  <c r="O12" i="20"/>
  <c r="N12" i="20"/>
  <c r="X12" i="20" s="1"/>
  <c r="I10" i="20"/>
  <c r="D30" i="10" l="1"/>
  <c r="G30" i="10"/>
  <c r="H30" i="10"/>
  <c r="I30" i="10"/>
  <c r="J30" i="10"/>
  <c r="M30" i="10"/>
  <c r="C24" i="10"/>
  <c r="D24" i="10"/>
  <c r="E24" i="10"/>
  <c r="G24" i="10"/>
  <c r="H24" i="10"/>
  <c r="I24" i="10"/>
  <c r="J24" i="10"/>
  <c r="M24" i="10"/>
  <c r="B24" i="10"/>
  <c r="C26" i="10"/>
  <c r="D26" i="10"/>
  <c r="E26" i="10"/>
  <c r="F26" i="10"/>
  <c r="G26" i="10"/>
  <c r="H26" i="10"/>
  <c r="I26" i="10"/>
  <c r="J26" i="10"/>
  <c r="K26" i="10"/>
  <c r="L26" i="10"/>
  <c r="M26" i="10"/>
  <c r="B26" i="10"/>
  <c r="E27" i="10"/>
  <c r="B27" i="10"/>
  <c r="D51" i="14"/>
  <c r="E45" i="14"/>
  <c r="D45" i="14"/>
  <c r="F44" i="14"/>
  <c r="E44" i="14"/>
  <c r="D18" i="14"/>
  <c r="C148" i="2" l="1"/>
  <c r="F67" i="14" l="1"/>
  <c r="J67" i="14" s="1"/>
  <c r="J62" i="14" s="1"/>
  <c r="C74" i="14"/>
  <c r="D67" i="14"/>
  <c r="E67" i="14"/>
  <c r="C67" i="14"/>
  <c r="H67" i="14"/>
  <c r="I67" i="14"/>
  <c r="G67" i="14"/>
  <c r="H66" i="14"/>
  <c r="H62" i="14" s="1"/>
  <c r="I66" i="14"/>
  <c r="J66" i="14"/>
  <c r="G66" i="14"/>
  <c r="C68" i="14"/>
  <c r="G62" i="14" l="1"/>
  <c r="I62" i="14"/>
  <c r="F25" i="10" l="1"/>
  <c r="F24" i="10" s="1"/>
  <c r="C25" i="10" l="1"/>
  <c r="B25" i="10" s="1"/>
  <c r="E51" i="14"/>
  <c r="C60" i="14"/>
  <c r="C51" i="14"/>
  <c r="C52" i="14"/>
  <c r="C55" i="14"/>
  <c r="C69" i="18"/>
  <c r="C67" i="18" s="1"/>
  <c r="F70" i="18"/>
  <c r="L25" i="10" l="1"/>
  <c r="L24" i="10" s="1"/>
  <c r="F58" i="14"/>
  <c r="E52" i="14"/>
  <c r="D55" i="14"/>
  <c r="D52" i="14" s="1"/>
  <c r="L15" i="10" l="1"/>
  <c r="L14" i="10"/>
  <c r="K16" i="10"/>
  <c r="J16" i="10"/>
  <c r="H15" i="10"/>
  <c r="N15" i="10" s="1"/>
  <c r="H14" i="10"/>
  <c r="G15" i="10"/>
  <c r="G14" i="10"/>
  <c r="I14" i="10" s="1"/>
  <c r="E15" i="10"/>
  <c r="E14" i="10"/>
  <c r="D28" i="10"/>
  <c r="I28" i="10"/>
  <c r="J28" i="10"/>
  <c r="M28" i="10"/>
  <c r="E29" i="10"/>
  <c r="E16" i="10" l="1"/>
  <c r="E28" i="10"/>
  <c r="I15" i="10"/>
  <c r="H16" i="10"/>
  <c r="N14" i="10"/>
  <c r="N16" i="10" s="1"/>
  <c r="G16" i="10"/>
  <c r="E30" i="10" l="1"/>
  <c r="F52" i="14" s="1"/>
  <c r="K25" i="10"/>
  <c r="K24" i="10" s="1"/>
  <c r="F39" i="14" l="1"/>
  <c r="E39" i="14"/>
  <c r="C46" i="14"/>
  <c r="D42" i="14"/>
  <c r="D43" i="14"/>
  <c r="E43" i="14"/>
  <c r="F43" i="14"/>
  <c r="C43" i="14"/>
  <c r="D44" i="14"/>
  <c r="D38" i="14"/>
  <c r="E38" i="14" s="1"/>
  <c r="F38" i="14" s="1"/>
  <c r="C34" i="14"/>
  <c r="C48" i="14"/>
  <c r="D13" i="22"/>
  <c r="D12" i="22"/>
  <c r="D46" i="14" l="1"/>
  <c r="E42" i="14"/>
  <c r="F42" i="14" s="1"/>
  <c r="F48" i="14" s="1"/>
  <c r="D48" i="14"/>
  <c r="C27" i="18"/>
  <c r="D68" i="18"/>
  <c r="D82" i="18"/>
  <c r="E68" i="18"/>
  <c r="D77" i="18"/>
  <c r="D57" i="14" s="1"/>
  <c r="F71" i="18"/>
  <c r="F72" i="18"/>
  <c r="F73" i="18"/>
  <c r="G77" i="18"/>
  <c r="F83" i="18"/>
  <c r="F80" i="18"/>
  <c r="F79" i="18"/>
  <c r="F78" i="18"/>
  <c r="F61" i="18"/>
  <c r="E82" i="18"/>
  <c r="E56" i="18" s="1"/>
  <c r="D59" i="14" l="1"/>
  <c r="D56" i="18"/>
  <c r="C29" i="10"/>
  <c r="C28" i="10" s="1"/>
  <c r="E59" i="14"/>
  <c r="D56" i="14"/>
  <c r="D60" i="14" s="1"/>
  <c r="I77" i="18"/>
  <c r="F77" i="18" s="1"/>
  <c r="F76" i="18" s="1"/>
  <c r="E46" i="14"/>
  <c r="E48" i="14"/>
  <c r="F46" i="14"/>
  <c r="B28" i="10" l="1"/>
  <c r="B30" i="10" s="1"/>
  <c r="C30" i="10"/>
  <c r="B29" i="10"/>
  <c r="E83" i="18"/>
  <c r="E77" i="18"/>
  <c r="E73" i="18"/>
  <c r="E15" i="3"/>
  <c r="E14" i="3"/>
  <c r="E12" i="3"/>
  <c r="E62" i="18" s="1"/>
  <c r="E11" i="3"/>
  <c r="S28" i="20"/>
  <c r="T28" i="20"/>
  <c r="U28" i="20"/>
  <c r="V28" i="20"/>
  <c r="C60" i="18"/>
  <c r="G60" i="18"/>
  <c r="O13" i="20"/>
  <c r="Y13" i="20" s="1"/>
  <c r="H12" i="3" s="1"/>
  <c r="P13" i="20"/>
  <c r="Z13" i="20" s="1"/>
  <c r="I12" i="3" s="1"/>
  <c r="Q13" i="20"/>
  <c r="AA13" i="20" s="1"/>
  <c r="J12" i="3" s="1"/>
  <c r="N13" i="20"/>
  <c r="X13" i="20" s="1"/>
  <c r="E58" i="18"/>
  <c r="E59" i="18" s="1"/>
  <c r="E57" i="18" s="1"/>
  <c r="M27" i="20"/>
  <c r="H59" i="18"/>
  <c r="I59" i="18"/>
  <c r="J59" i="18"/>
  <c r="R25" i="20"/>
  <c r="S25" i="20"/>
  <c r="T25" i="20"/>
  <c r="U25" i="20"/>
  <c r="V25" i="20"/>
  <c r="AA25" i="20" s="1"/>
  <c r="G59" i="18"/>
  <c r="E29" i="3"/>
  <c r="E35" i="3"/>
  <c r="E34" i="3"/>
  <c r="Q11" i="20" s="1"/>
  <c r="AA11" i="20" s="1"/>
  <c r="E26" i="3"/>
  <c r="P26" i="20"/>
  <c r="Q26" i="20"/>
  <c r="O26" i="20"/>
  <c r="X27" i="20"/>
  <c r="O11" i="20"/>
  <c r="Y11" i="20" s="1"/>
  <c r="P11" i="20"/>
  <c r="Z11" i="20" s="1"/>
  <c r="Y10" i="20"/>
  <c r="Z10" i="20"/>
  <c r="AA10" i="20"/>
  <c r="X14" i="20"/>
  <c r="Y14" i="20"/>
  <c r="H13" i="3" s="1"/>
  <c r="Z14" i="20"/>
  <c r="I13" i="3" s="1"/>
  <c r="AA14" i="20"/>
  <c r="J13" i="3" s="1"/>
  <c r="Y8" i="20"/>
  <c r="H10" i="3" s="1"/>
  <c r="Z8" i="20"/>
  <c r="I10" i="3" s="1"/>
  <c r="AA8" i="20"/>
  <c r="J10" i="3" s="1"/>
  <c r="X8" i="20"/>
  <c r="G13" i="3"/>
  <c r="E37" i="3"/>
  <c r="E32" i="3"/>
  <c r="E30" i="3"/>
  <c r="E57" i="14" l="1"/>
  <c r="W8" i="20"/>
  <c r="Z25" i="20"/>
  <c r="X25" i="20"/>
  <c r="G10" i="3"/>
  <c r="W14" i="20"/>
  <c r="G12" i="3"/>
  <c r="F12" i="3" s="1"/>
  <c r="G62" i="18"/>
  <c r="Y25" i="20"/>
  <c r="I62" i="18"/>
  <c r="H62" i="18"/>
  <c r="J62" i="18"/>
  <c r="F59" i="18"/>
  <c r="N11" i="20"/>
  <c r="N9" i="20" s="1"/>
  <c r="N26" i="20"/>
  <c r="M13" i="20"/>
  <c r="F13" i="3"/>
  <c r="W13" i="20"/>
  <c r="F10" i="3"/>
  <c r="D59" i="18"/>
  <c r="D58" i="18"/>
  <c r="D14" i="3"/>
  <c r="J27" i="20"/>
  <c r="H11" i="20"/>
  <c r="H12" i="20"/>
  <c r="H13" i="20"/>
  <c r="D37" i="18"/>
  <c r="D28" i="18" s="1"/>
  <c r="J21" i="18"/>
  <c r="I21" i="18"/>
  <c r="H21" i="18"/>
  <c r="G21" i="18"/>
  <c r="F10" i="18"/>
  <c r="F11" i="18"/>
  <c r="F13" i="18"/>
  <c r="F14" i="18" s="1"/>
  <c r="F15" i="18"/>
  <c r="F16" i="18"/>
  <c r="F18" i="18"/>
  <c r="F19" i="18"/>
  <c r="F20" i="18"/>
  <c r="F22" i="18"/>
  <c r="F23" i="18"/>
  <c r="F24" i="18"/>
  <c r="F25" i="18"/>
  <c r="E22" i="18"/>
  <c r="E16" i="18"/>
  <c r="H14" i="18" l="1"/>
  <c r="H12" i="18" s="1"/>
  <c r="G14" i="18"/>
  <c r="G12" i="18" s="1"/>
  <c r="I14" i="18"/>
  <c r="I12" i="18" s="1"/>
  <c r="J14" i="18"/>
  <c r="J12" i="18" s="1"/>
  <c r="E56" i="14"/>
  <c r="E60" i="14" s="1"/>
  <c r="W25" i="20"/>
  <c r="D57" i="18"/>
  <c r="F62" i="18"/>
  <c r="H60" i="18"/>
  <c r="Y27" i="20"/>
  <c r="X11" i="20"/>
  <c r="W11" i="20" s="1"/>
  <c r="M11" i="20"/>
  <c r="F21" i="18"/>
  <c r="F12" i="18" l="1"/>
  <c r="D9" i="19"/>
  <c r="D12" i="18" l="1"/>
  <c r="E12" i="18" s="1"/>
  <c r="D89" i="18"/>
  <c r="C77" i="18"/>
  <c r="C57" i="14" s="1"/>
  <c r="C56" i="14" s="1"/>
  <c r="D55" i="18"/>
  <c r="D52" i="18" s="1"/>
  <c r="D29" i="18"/>
  <c r="C56" i="18"/>
  <c r="C62" i="18"/>
  <c r="C57" i="18"/>
  <c r="C59" i="18" s="1"/>
  <c r="C35" i="18"/>
  <c r="C37" i="18"/>
  <c r="C36" i="18"/>
  <c r="D21" i="18"/>
  <c r="E21" i="18"/>
  <c r="C21" i="18"/>
  <c r="F16" i="19"/>
  <c r="F15" i="19"/>
  <c r="F14" i="19"/>
  <c r="F13" i="19"/>
  <c r="F12" i="19"/>
  <c r="F11" i="19"/>
  <c r="F10" i="19"/>
  <c r="G8" i="19"/>
  <c r="H9" i="19" s="1"/>
  <c r="F22" i="19"/>
  <c r="F23" i="19"/>
  <c r="H33" i="19"/>
  <c r="I33" i="19"/>
  <c r="J33" i="19"/>
  <c r="G33" i="19"/>
  <c r="F25" i="19"/>
  <c r="F27" i="19"/>
  <c r="F29" i="19"/>
  <c r="F36" i="19"/>
  <c r="F38" i="19"/>
  <c r="F39" i="19"/>
  <c r="D35" i="19"/>
  <c r="D32" i="19"/>
  <c r="D28" i="19"/>
  <c r="D21" i="19"/>
  <c r="D36" i="18" s="1"/>
  <c r="C39" i="19"/>
  <c r="C33" i="19"/>
  <c r="C55" i="18" l="1"/>
  <c r="C52" i="18" s="1"/>
  <c r="D19" i="19"/>
  <c r="G17" i="19"/>
  <c r="F33" i="19"/>
  <c r="C9" i="19" l="1"/>
  <c r="C28" i="19"/>
  <c r="C32" i="19"/>
  <c r="C30" i="19" s="1"/>
  <c r="C26" i="19" l="1"/>
  <c r="C38" i="18" s="1"/>
  <c r="C34" i="18" s="1"/>
  <c r="E27" i="3" l="1"/>
  <c r="E24" i="3" l="1"/>
  <c r="E33" i="3" s="1"/>
  <c r="E9" i="3"/>
  <c r="C14" i="3"/>
  <c r="E35" i="14" l="1"/>
  <c r="E25" i="14"/>
  <c r="C11" i="3"/>
  <c r="D12" i="3"/>
  <c r="D11" i="3"/>
  <c r="D10" i="3"/>
  <c r="C12" i="3"/>
  <c r="AA12" i="20"/>
  <c r="J82" i="18" s="1"/>
  <c r="Z12" i="20"/>
  <c r="I82" i="18" s="1"/>
  <c r="Y12" i="20"/>
  <c r="H82" i="18" s="1"/>
  <c r="W12" i="20" l="1"/>
  <c r="C9" i="3"/>
  <c r="C25" i="14" s="1"/>
  <c r="M10" i="20" l="1"/>
  <c r="M12" i="20"/>
  <c r="J9" i="20"/>
  <c r="K9" i="20"/>
  <c r="L9" i="20"/>
  <c r="O9" i="20"/>
  <c r="P9" i="20"/>
  <c r="Q9" i="20"/>
  <c r="AA9" i="20" s="1"/>
  <c r="J11" i="3" s="1"/>
  <c r="J56" i="18" s="1"/>
  <c r="Y9" i="20" l="1"/>
  <c r="H11" i="3" s="1"/>
  <c r="H56" i="18" s="1"/>
  <c r="Z9" i="20"/>
  <c r="I11" i="3" s="1"/>
  <c r="I56" i="18" s="1"/>
  <c r="M9" i="20"/>
  <c r="H9" i="20" l="1"/>
  <c r="I26" i="20"/>
  <c r="X26" i="20" s="1"/>
  <c r="H26" i="20"/>
  <c r="K27" i="20"/>
  <c r="L27" i="20"/>
  <c r="J26" i="20"/>
  <c r="L26" i="20" l="1"/>
  <c r="AA27" i="20"/>
  <c r="J60" i="18"/>
  <c r="K26" i="20"/>
  <c r="I60" i="18"/>
  <c r="Z27" i="20"/>
  <c r="W27" i="20" s="1"/>
  <c r="X10" i="20"/>
  <c r="I9" i="20"/>
  <c r="X9" i="20" s="1"/>
  <c r="Y26" i="20"/>
  <c r="H15" i="3" s="1"/>
  <c r="J28" i="20"/>
  <c r="H68" i="18" s="1"/>
  <c r="G15" i="3"/>
  <c r="W10" i="20" l="1"/>
  <c r="G82" i="18"/>
  <c r="F82" i="18" s="1"/>
  <c r="F29" i="10" s="1"/>
  <c r="F60" i="18"/>
  <c r="Z26" i="20"/>
  <c r="K28" i="20"/>
  <c r="I68" i="18" s="1"/>
  <c r="I28" i="20"/>
  <c r="G68" i="18" s="1"/>
  <c r="AA26" i="20"/>
  <c r="J15" i="3" s="1"/>
  <c r="L28" i="20"/>
  <c r="J68" i="18" s="1"/>
  <c r="H98" i="2"/>
  <c r="I98" i="2"/>
  <c r="J98" i="2"/>
  <c r="G98" i="2"/>
  <c r="D98" i="2"/>
  <c r="C98" i="2"/>
  <c r="E98" i="2"/>
  <c r="G139" i="2"/>
  <c r="H139" i="2"/>
  <c r="I139" i="2"/>
  <c r="J139" i="2"/>
  <c r="G143" i="2"/>
  <c r="H143" i="2"/>
  <c r="I143" i="2"/>
  <c r="J143" i="2"/>
  <c r="G145" i="2"/>
  <c r="H145" i="2"/>
  <c r="I145" i="2"/>
  <c r="J145" i="2"/>
  <c r="H146" i="2"/>
  <c r="I146" i="2"/>
  <c r="J146" i="2"/>
  <c r="G131" i="2"/>
  <c r="H131" i="2"/>
  <c r="H130" i="2"/>
  <c r="J130" i="2"/>
  <c r="C130" i="2"/>
  <c r="C87" i="2"/>
  <c r="D87" i="2"/>
  <c r="G87" i="2"/>
  <c r="H87" i="2"/>
  <c r="I87" i="2"/>
  <c r="J87" i="2"/>
  <c r="H128" i="2"/>
  <c r="H127" i="2" s="1"/>
  <c r="I128" i="2"/>
  <c r="I127" i="2" s="1"/>
  <c r="J128" i="2"/>
  <c r="J127" i="2" s="1"/>
  <c r="G128" i="2"/>
  <c r="G127" i="2" s="1"/>
  <c r="G101" i="2"/>
  <c r="H101" i="2"/>
  <c r="I101" i="2"/>
  <c r="J101" i="2"/>
  <c r="G102" i="2"/>
  <c r="H102" i="2"/>
  <c r="I102" i="2"/>
  <c r="J102" i="2"/>
  <c r="G103" i="2"/>
  <c r="H103" i="2"/>
  <c r="I103" i="2"/>
  <c r="J103" i="2"/>
  <c r="G104" i="2"/>
  <c r="H104" i="2"/>
  <c r="I104" i="2"/>
  <c r="J104" i="2"/>
  <c r="G107" i="2"/>
  <c r="H107" i="2"/>
  <c r="I107" i="2"/>
  <c r="J107" i="2"/>
  <c r="G110" i="2"/>
  <c r="G111" i="2"/>
  <c r="H111" i="2"/>
  <c r="I111" i="2"/>
  <c r="J111" i="2"/>
  <c r="G112" i="2"/>
  <c r="H112" i="2"/>
  <c r="I112" i="2"/>
  <c r="J112" i="2"/>
  <c r="G119" i="2"/>
  <c r="H119" i="2"/>
  <c r="I119" i="2"/>
  <c r="J119" i="2"/>
  <c r="G122" i="2"/>
  <c r="H122" i="2"/>
  <c r="I122" i="2"/>
  <c r="J122" i="2"/>
  <c r="G124" i="2"/>
  <c r="H124" i="2"/>
  <c r="I124" i="2"/>
  <c r="J124" i="2"/>
  <c r="G125" i="2"/>
  <c r="H125" i="2"/>
  <c r="I125" i="2"/>
  <c r="J125" i="2"/>
  <c r="H100" i="2"/>
  <c r="J100" i="2"/>
  <c r="G100" i="2"/>
  <c r="C101" i="2"/>
  <c r="D101" i="2"/>
  <c r="E101" i="2"/>
  <c r="C102" i="2"/>
  <c r="D102" i="2"/>
  <c r="E102" i="2"/>
  <c r="C104" i="2"/>
  <c r="D104" i="2"/>
  <c r="E104" i="2"/>
  <c r="D107" i="2"/>
  <c r="C111" i="2"/>
  <c r="C113" i="2"/>
  <c r="C119" i="2"/>
  <c r="D120" i="2"/>
  <c r="D121" i="2"/>
  <c r="C122" i="2"/>
  <c r="D122" i="2"/>
  <c r="D124" i="2"/>
  <c r="E124" i="2"/>
  <c r="D100" i="2"/>
  <c r="F28" i="10" l="1"/>
  <c r="F30" i="10" s="1"/>
  <c r="L29" i="10"/>
  <c r="G11" i="3"/>
  <c r="G56" i="18" s="1"/>
  <c r="W9" i="20"/>
  <c r="F68" i="18"/>
  <c r="I15" i="3"/>
  <c r="F15" i="3" s="1"/>
  <c r="W26" i="20"/>
  <c r="F139" i="2"/>
  <c r="F145" i="2"/>
  <c r="F143" i="2"/>
  <c r="F128" i="2"/>
  <c r="F127" i="2" s="1"/>
  <c r="F103" i="2"/>
  <c r="F125" i="2"/>
  <c r="F124" i="2"/>
  <c r="F122" i="2"/>
  <c r="F119" i="2"/>
  <c r="F112" i="2"/>
  <c r="F111" i="2"/>
  <c r="F107" i="2"/>
  <c r="F104" i="2"/>
  <c r="F102" i="2"/>
  <c r="F101" i="2"/>
  <c r="F87" i="2"/>
  <c r="D81" i="2"/>
  <c r="C81" i="2"/>
  <c r="H80" i="2"/>
  <c r="I80" i="2"/>
  <c r="J80" i="2"/>
  <c r="H81" i="2"/>
  <c r="I81" i="2"/>
  <c r="J81" i="2"/>
  <c r="G81" i="2"/>
  <c r="G80" i="2"/>
  <c r="H97" i="2"/>
  <c r="I97" i="2"/>
  <c r="J97" i="2"/>
  <c r="G83" i="2"/>
  <c r="H83" i="2"/>
  <c r="I83" i="2"/>
  <c r="J83" i="2"/>
  <c r="G85" i="2"/>
  <c r="H85" i="2"/>
  <c r="I85" i="2"/>
  <c r="J85" i="2"/>
  <c r="G86" i="2"/>
  <c r="H86" i="2"/>
  <c r="I86" i="2"/>
  <c r="J86" i="2"/>
  <c r="G91" i="2"/>
  <c r="H91" i="2"/>
  <c r="I91" i="2"/>
  <c r="J91" i="2"/>
  <c r="G95" i="2"/>
  <c r="H95" i="2"/>
  <c r="I95" i="2"/>
  <c r="J95" i="2"/>
  <c r="G96" i="2"/>
  <c r="H96" i="2"/>
  <c r="I96" i="2"/>
  <c r="J96" i="2"/>
  <c r="G97" i="2"/>
  <c r="C83" i="2"/>
  <c r="C85" i="2"/>
  <c r="C86" i="2"/>
  <c r="C91" i="2"/>
  <c r="C93" i="2"/>
  <c r="C94" i="2"/>
  <c r="H134" i="2"/>
  <c r="I134" i="2"/>
  <c r="J134" i="2"/>
  <c r="H135" i="2"/>
  <c r="I135" i="2"/>
  <c r="J135" i="2"/>
  <c r="G135" i="2"/>
  <c r="G134" i="2"/>
  <c r="D134" i="2"/>
  <c r="D135" i="2"/>
  <c r="E81" i="2"/>
  <c r="G76" i="2"/>
  <c r="H76" i="2"/>
  <c r="I76" i="2"/>
  <c r="J76" i="2"/>
  <c r="G77" i="2"/>
  <c r="H77" i="2"/>
  <c r="I77" i="2"/>
  <c r="J77" i="2"/>
  <c r="G72" i="2"/>
  <c r="H72" i="2"/>
  <c r="I72" i="2"/>
  <c r="J72" i="2"/>
  <c r="G73" i="2"/>
  <c r="H73" i="2"/>
  <c r="I73" i="2"/>
  <c r="J73" i="2"/>
  <c r="C72" i="2"/>
  <c r="D72" i="2"/>
  <c r="E72" i="2"/>
  <c r="C73" i="2"/>
  <c r="D73" i="2"/>
  <c r="E73" i="2"/>
  <c r="C77" i="2"/>
  <c r="D77" i="2"/>
  <c r="E77" i="2"/>
  <c r="H57" i="2"/>
  <c r="I57" i="2"/>
  <c r="J57" i="2"/>
  <c r="G57" i="2"/>
  <c r="H63" i="2"/>
  <c r="I63" i="2"/>
  <c r="J63" i="2"/>
  <c r="H67" i="2"/>
  <c r="I67" i="2"/>
  <c r="J67" i="2"/>
  <c r="G63" i="2"/>
  <c r="G67" i="2"/>
  <c r="H39" i="2"/>
  <c r="I39" i="2"/>
  <c r="J39" i="2"/>
  <c r="H40" i="2"/>
  <c r="I40" i="2"/>
  <c r="J40" i="2"/>
  <c r="H41" i="2"/>
  <c r="I41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4" i="2"/>
  <c r="I54" i="2"/>
  <c r="J54" i="2"/>
  <c r="H55" i="2"/>
  <c r="I55" i="2"/>
  <c r="J55" i="2"/>
  <c r="H58" i="2"/>
  <c r="I58" i="2"/>
  <c r="J58" i="2"/>
  <c r="G39" i="2"/>
  <c r="G40" i="2"/>
  <c r="G41" i="2"/>
  <c r="G47" i="2"/>
  <c r="G48" i="2"/>
  <c r="G49" i="2"/>
  <c r="G50" i="2"/>
  <c r="G51" i="2"/>
  <c r="G52" i="2"/>
  <c r="G54" i="2"/>
  <c r="G55" i="2"/>
  <c r="G58" i="2"/>
  <c r="D49" i="2"/>
  <c r="E49" i="2"/>
  <c r="D50" i="2"/>
  <c r="E50" i="2"/>
  <c r="D51" i="2"/>
  <c r="E51" i="2"/>
  <c r="D54" i="2"/>
  <c r="E54" i="2"/>
  <c r="C42" i="2"/>
  <c r="C49" i="2"/>
  <c r="C50" i="2"/>
  <c r="C51" i="2"/>
  <c r="C53" i="2"/>
  <c r="C54" i="2"/>
  <c r="K29" i="10" l="1"/>
  <c r="K28" i="10" s="1"/>
  <c r="K30" i="10" s="1"/>
  <c r="F60" i="14" s="1"/>
  <c r="L28" i="10"/>
  <c r="L30" i="10" s="1"/>
  <c r="F56" i="18"/>
  <c r="F11" i="3"/>
  <c r="G133" i="2"/>
  <c r="C74" i="2"/>
  <c r="F134" i="2"/>
  <c r="F97" i="2"/>
  <c r="D133" i="2"/>
  <c r="I133" i="2"/>
  <c r="F96" i="2"/>
  <c r="F95" i="2"/>
  <c r="F91" i="2"/>
  <c r="F98" i="2"/>
  <c r="F85" i="2"/>
  <c r="F83" i="2"/>
  <c r="F81" i="2"/>
  <c r="F80" i="2"/>
  <c r="F86" i="2"/>
  <c r="F135" i="2"/>
  <c r="H133" i="2"/>
  <c r="J133" i="2"/>
  <c r="F73" i="2"/>
  <c r="F72" i="2"/>
  <c r="F77" i="2"/>
  <c r="F76" i="2"/>
  <c r="F67" i="2"/>
  <c r="F63" i="2"/>
  <c r="F54" i="2"/>
  <c r="F55" i="2"/>
  <c r="F57" i="2"/>
  <c r="F50" i="2"/>
  <c r="F58" i="2"/>
  <c r="F52" i="2"/>
  <c r="F51" i="2"/>
  <c r="F49" i="2"/>
  <c r="F48" i="2"/>
  <c r="F40" i="2"/>
  <c r="F39" i="2"/>
  <c r="C70" i="2"/>
  <c r="H26" i="2"/>
  <c r="J26" i="2"/>
  <c r="H31" i="2"/>
  <c r="I31" i="2"/>
  <c r="J31" i="2"/>
  <c r="G26" i="2"/>
  <c r="G31" i="2"/>
  <c r="D25" i="2"/>
  <c r="D30" i="2"/>
  <c r="C22" i="2"/>
  <c r="C23" i="2"/>
  <c r="C24" i="2"/>
  <c r="C26" i="2"/>
  <c r="C27" i="2"/>
  <c r="C29" i="2"/>
  <c r="C30" i="2"/>
  <c r="C31" i="2"/>
  <c r="C32" i="2"/>
  <c r="C33" i="2"/>
  <c r="C34" i="2"/>
  <c r="C21" i="2"/>
  <c r="D20" i="2"/>
  <c r="D35" i="2"/>
  <c r="D17" i="2"/>
  <c r="D18" i="2"/>
  <c r="C18" i="2"/>
  <c r="C17" i="2"/>
  <c r="H19" i="2"/>
  <c r="I19" i="2"/>
  <c r="D19" i="2"/>
  <c r="C20" i="2"/>
  <c r="C15" i="2"/>
  <c r="C12" i="2"/>
  <c r="C13" i="2"/>
  <c r="C11" i="2"/>
  <c r="E33" i="19"/>
  <c r="D146" i="2"/>
  <c r="C146" i="2"/>
  <c r="E145" i="2"/>
  <c r="D145" i="2"/>
  <c r="C145" i="2"/>
  <c r="J144" i="2"/>
  <c r="I144" i="2"/>
  <c r="H144" i="2"/>
  <c r="E143" i="2"/>
  <c r="D143" i="2"/>
  <c r="C143" i="2"/>
  <c r="D142" i="2"/>
  <c r="C142" i="2"/>
  <c r="J141" i="2"/>
  <c r="I141" i="2"/>
  <c r="H141" i="2"/>
  <c r="G141" i="2"/>
  <c r="D141" i="2"/>
  <c r="C141" i="2"/>
  <c r="J140" i="2"/>
  <c r="I140" i="2"/>
  <c r="H140" i="2"/>
  <c r="E140" i="2"/>
  <c r="D140" i="2"/>
  <c r="C140" i="2"/>
  <c r="E139" i="2"/>
  <c r="D139" i="2"/>
  <c r="C139" i="2"/>
  <c r="D138" i="2"/>
  <c r="C138" i="2"/>
  <c r="D137" i="2"/>
  <c r="C137" i="2"/>
  <c r="J132" i="2"/>
  <c r="I132" i="2"/>
  <c r="H132" i="2"/>
  <c r="H129" i="2" s="1"/>
  <c r="G132" i="2"/>
  <c r="D132" i="2"/>
  <c r="J131" i="2"/>
  <c r="I131" i="2"/>
  <c r="D131" i="2"/>
  <c r="I130" i="2"/>
  <c r="G130" i="2"/>
  <c r="E130" i="2"/>
  <c r="D130" i="2"/>
  <c r="C125" i="2"/>
  <c r="E122" i="2"/>
  <c r="J121" i="2"/>
  <c r="I121" i="2"/>
  <c r="H121" i="2"/>
  <c r="C121" i="2"/>
  <c r="J120" i="2"/>
  <c r="I120" i="2"/>
  <c r="H120" i="2"/>
  <c r="G120" i="2"/>
  <c r="E120" i="2"/>
  <c r="C120" i="2"/>
  <c r="E119" i="2"/>
  <c r="D119" i="2"/>
  <c r="J118" i="2"/>
  <c r="I118" i="2"/>
  <c r="H118" i="2"/>
  <c r="G118" i="2"/>
  <c r="E118" i="2"/>
  <c r="C118" i="2"/>
  <c r="D117" i="2"/>
  <c r="C117" i="2"/>
  <c r="D116" i="2"/>
  <c r="D115" i="2"/>
  <c r="J113" i="2"/>
  <c r="I113" i="2"/>
  <c r="H113" i="2"/>
  <c r="G113" i="2"/>
  <c r="E113" i="2"/>
  <c r="D113" i="2"/>
  <c r="E112" i="2"/>
  <c r="D112" i="2"/>
  <c r="C112" i="2"/>
  <c r="D111" i="2"/>
  <c r="J110" i="2"/>
  <c r="I110" i="2"/>
  <c r="H110" i="2"/>
  <c r="D109" i="2"/>
  <c r="C109" i="2"/>
  <c r="D108" i="2"/>
  <c r="C108" i="2"/>
  <c r="E107" i="2"/>
  <c r="C107" i="2"/>
  <c r="C124" i="2"/>
  <c r="C100" i="2"/>
  <c r="E103" i="2"/>
  <c r="D103" i="2"/>
  <c r="C103" i="2"/>
  <c r="J123" i="2"/>
  <c r="I123" i="2"/>
  <c r="H123" i="2"/>
  <c r="D123" i="2"/>
  <c r="C123" i="2"/>
  <c r="E76" i="2"/>
  <c r="D76" i="2"/>
  <c r="C76" i="2"/>
  <c r="D75" i="2"/>
  <c r="C75" i="2"/>
  <c r="J70" i="2"/>
  <c r="I70" i="2"/>
  <c r="H70" i="2"/>
  <c r="G70" i="2"/>
  <c r="D70" i="2"/>
  <c r="E63" i="2"/>
  <c r="D63" i="2"/>
  <c r="C63" i="2"/>
  <c r="J66" i="2"/>
  <c r="I66" i="2"/>
  <c r="H66" i="2"/>
  <c r="G66" i="2"/>
  <c r="E66" i="2"/>
  <c r="D66" i="2"/>
  <c r="C66" i="2"/>
  <c r="J68" i="2"/>
  <c r="I68" i="2"/>
  <c r="H68" i="2"/>
  <c r="E68" i="2"/>
  <c r="D68" i="2"/>
  <c r="C68" i="2"/>
  <c r="J61" i="2"/>
  <c r="I61" i="2"/>
  <c r="H61" i="2"/>
  <c r="G61" i="2"/>
  <c r="D61" i="2"/>
  <c r="C61" i="2"/>
  <c r="J69" i="2"/>
  <c r="I69" i="2"/>
  <c r="H69" i="2"/>
  <c r="G69" i="2"/>
  <c r="D69" i="2"/>
  <c r="I65" i="2"/>
  <c r="E65" i="2"/>
  <c r="D65" i="2"/>
  <c r="C65" i="2"/>
  <c r="J62" i="2"/>
  <c r="I62" i="2"/>
  <c r="H62" i="2"/>
  <c r="G62" i="2"/>
  <c r="E62" i="2"/>
  <c r="D62" i="2"/>
  <c r="C62" i="2"/>
  <c r="E67" i="2"/>
  <c r="D67" i="2"/>
  <c r="C67" i="2"/>
  <c r="J60" i="2"/>
  <c r="I60" i="2"/>
  <c r="H60" i="2"/>
  <c r="G60" i="2"/>
  <c r="D60" i="2"/>
  <c r="J64" i="2"/>
  <c r="I64" i="2"/>
  <c r="H64" i="2"/>
  <c r="G64" i="2"/>
  <c r="D64" i="2"/>
  <c r="E58" i="2"/>
  <c r="C58" i="2"/>
  <c r="J56" i="2"/>
  <c r="I56" i="2"/>
  <c r="H56" i="2"/>
  <c r="G56" i="2"/>
  <c r="E56" i="2"/>
  <c r="D56" i="2"/>
  <c r="C56" i="2"/>
  <c r="E55" i="2"/>
  <c r="D55" i="2"/>
  <c r="C55" i="2"/>
  <c r="I53" i="2"/>
  <c r="E53" i="2"/>
  <c r="D53" i="2"/>
  <c r="E52" i="2"/>
  <c r="D52" i="2"/>
  <c r="C52" i="2"/>
  <c r="E48" i="2"/>
  <c r="D48" i="2"/>
  <c r="C48" i="2"/>
  <c r="J47" i="2"/>
  <c r="I47" i="2"/>
  <c r="H47" i="2"/>
  <c r="E47" i="2"/>
  <c r="D47" i="2"/>
  <c r="D46" i="2"/>
  <c r="J72" i="14"/>
  <c r="J81" i="14" s="1"/>
  <c r="I72" i="14"/>
  <c r="I81" i="14" s="1"/>
  <c r="H72" i="14"/>
  <c r="H81" i="14" s="1"/>
  <c r="G72" i="14"/>
  <c r="J44" i="2"/>
  <c r="I44" i="2"/>
  <c r="H44" i="2"/>
  <c r="G44" i="2"/>
  <c r="D44" i="2"/>
  <c r="C44" i="2"/>
  <c r="J43" i="2"/>
  <c r="I43" i="2"/>
  <c r="H43" i="2"/>
  <c r="G43" i="2"/>
  <c r="D43" i="2"/>
  <c r="C43" i="2"/>
  <c r="J42" i="2"/>
  <c r="I42" i="2"/>
  <c r="H42" i="2"/>
  <c r="G42" i="2"/>
  <c r="D42" i="2"/>
  <c r="E41" i="2"/>
  <c r="D41" i="2"/>
  <c r="C41" i="2"/>
  <c r="E40" i="2"/>
  <c r="D40" i="2"/>
  <c r="C40" i="2"/>
  <c r="E39" i="2"/>
  <c r="D39" i="2"/>
  <c r="C39" i="2"/>
  <c r="I38" i="2"/>
  <c r="D38" i="2"/>
  <c r="C38" i="2"/>
  <c r="J35" i="2"/>
  <c r="E35" i="2"/>
  <c r="C35" i="2"/>
  <c r="J25" i="2"/>
  <c r="I25" i="2"/>
  <c r="H25" i="2"/>
  <c r="G25" i="2"/>
  <c r="E25" i="2"/>
  <c r="C25" i="2"/>
  <c r="J30" i="2"/>
  <c r="I30" i="2"/>
  <c r="H30" i="2"/>
  <c r="G30" i="2"/>
  <c r="E30" i="2"/>
  <c r="J29" i="2"/>
  <c r="D29" i="2"/>
  <c r="D23" i="2"/>
  <c r="J22" i="2"/>
  <c r="I22" i="2"/>
  <c r="H22" i="2"/>
  <c r="G22" i="2"/>
  <c r="E22" i="2"/>
  <c r="D22" i="2"/>
  <c r="E28" i="2"/>
  <c r="D28" i="2"/>
  <c r="C28" i="2"/>
  <c r="J24" i="2"/>
  <c r="I24" i="2"/>
  <c r="H24" i="2"/>
  <c r="G24" i="2"/>
  <c r="D24" i="2"/>
  <c r="D27" i="2"/>
  <c r="I34" i="2"/>
  <c r="E34" i="2"/>
  <c r="D34" i="2"/>
  <c r="J33" i="2"/>
  <c r="I33" i="2"/>
  <c r="H33" i="2"/>
  <c r="D33" i="2"/>
  <c r="J32" i="2"/>
  <c r="I32" i="2"/>
  <c r="H32" i="2"/>
  <c r="G32" i="2"/>
  <c r="E32" i="2"/>
  <c r="D32" i="2"/>
  <c r="D31" i="2"/>
  <c r="E26" i="2"/>
  <c r="D26" i="2"/>
  <c r="D14" i="2"/>
  <c r="J11" i="2"/>
  <c r="I11" i="2"/>
  <c r="H11" i="2"/>
  <c r="G11" i="2"/>
  <c r="D11" i="2"/>
  <c r="J18" i="2"/>
  <c r="I18" i="2"/>
  <c r="H18" i="2"/>
  <c r="G18" i="2"/>
  <c r="H17" i="2"/>
  <c r="G17" i="2"/>
  <c r="J17" i="2"/>
  <c r="I17" i="2"/>
  <c r="I20" i="2"/>
  <c r="H20" i="2"/>
  <c r="C9" i="2"/>
  <c r="C135" i="2"/>
  <c r="D84" i="2"/>
  <c r="C84" i="2"/>
  <c r="E96" i="2"/>
  <c r="D96" i="2"/>
  <c r="C96" i="2"/>
  <c r="D95" i="2"/>
  <c r="J94" i="2"/>
  <c r="I94" i="2"/>
  <c r="H94" i="2"/>
  <c r="G94" i="2"/>
  <c r="D94" i="2"/>
  <c r="D93" i="2"/>
  <c r="D92" i="2"/>
  <c r="C92" i="2"/>
  <c r="D91" i="2"/>
  <c r="E97" i="2"/>
  <c r="D97" i="2"/>
  <c r="C97" i="2"/>
  <c r="J90" i="2"/>
  <c r="I90" i="2"/>
  <c r="H90" i="2"/>
  <c r="G90" i="2"/>
  <c r="D90" i="2"/>
  <c r="J89" i="2"/>
  <c r="I89" i="2"/>
  <c r="H89" i="2"/>
  <c r="G89" i="2"/>
  <c r="D89" i="2"/>
  <c r="C89" i="2"/>
  <c r="J88" i="2"/>
  <c r="I88" i="2"/>
  <c r="H88" i="2"/>
  <c r="G88" i="2"/>
  <c r="D88" i="2"/>
  <c r="C88" i="2"/>
  <c r="E86" i="2"/>
  <c r="D86" i="2"/>
  <c r="D85" i="2"/>
  <c r="D15" i="10"/>
  <c r="J21" i="2"/>
  <c r="E135" i="2" l="1"/>
  <c r="J9" i="2"/>
  <c r="G28" i="2"/>
  <c r="G81" i="14"/>
  <c r="F72" i="14"/>
  <c r="F81" i="14" s="1"/>
  <c r="E125" i="2"/>
  <c r="E146" i="2"/>
  <c r="D14" i="10"/>
  <c r="F14" i="10" s="1"/>
  <c r="J20" i="2"/>
  <c r="E20" i="2"/>
  <c r="G21" i="2"/>
  <c r="G9" i="18"/>
  <c r="G92" i="2"/>
  <c r="D45" i="2"/>
  <c r="D72" i="14"/>
  <c r="D81" i="14" s="1"/>
  <c r="G20" i="2"/>
  <c r="G160" i="2"/>
  <c r="H28" i="19"/>
  <c r="G28" i="19"/>
  <c r="C69" i="2"/>
  <c r="F15" i="10"/>
  <c r="C78" i="2"/>
  <c r="C71" i="2" s="1"/>
  <c r="E28" i="19"/>
  <c r="C157" i="2"/>
  <c r="D31" i="19"/>
  <c r="D159" i="2"/>
  <c r="D15" i="2"/>
  <c r="D156" i="2"/>
  <c r="C19" i="2"/>
  <c r="C16" i="2" s="1"/>
  <c r="F130" i="2"/>
  <c r="F131" i="2"/>
  <c r="D129" i="2"/>
  <c r="D7" i="2"/>
  <c r="J129" i="2"/>
  <c r="C14" i="2"/>
  <c r="F113" i="2"/>
  <c r="C115" i="2"/>
  <c r="C116" i="2"/>
  <c r="H13" i="2"/>
  <c r="D58" i="2"/>
  <c r="F141" i="2"/>
  <c r="C131" i="2"/>
  <c r="E128" i="2"/>
  <c r="E127" i="2" s="1"/>
  <c r="D12" i="2"/>
  <c r="D13" i="2"/>
  <c r="F110" i="2"/>
  <c r="F120" i="2"/>
  <c r="I129" i="2"/>
  <c r="D9" i="2"/>
  <c r="J117" i="2"/>
  <c r="C46" i="2"/>
  <c r="C64" i="2"/>
  <c r="H117" i="2"/>
  <c r="C47" i="2"/>
  <c r="I117" i="2"/>
  <c r="F118" i="2"/>
  <c r="D80" i="2"/>
  <c r="D128" i="2"/>
  <c r="D127" i="2" s="1"/>
  <c r="D125" i="2"/>
  <c r="D118" i="2"/>
  <c r="C106" i="2"/>
  <c r="D106" i="2"/>
  <c r="I106" i="2"/>
  <c r="J106" i="2"/>
  <c r="H106" i="2"/>
  <c r="I100" i="2"/>
  <c r="F100" i="2" s="1"/>
  <c r="C80" i="2"/>
  <c r="C128" i="2"/>
  <c r="C127" i="2" s="1"/>
  <c r="G106" i="2"/>
  <c r="F133" i="2"/>
  <c r="D83" i="2"/>
  <c r="D82" i="2" s="1"/>
  <c r="E87" i="2"/>
  <c r="D110" i="2"/>
  <c r="D114" i="2"/>
  <c r="F132" i="2"/>
  <c r="G129" i="2"/>
  <c r="C144" i="2"/>
  <c r="C136" i="2" s="1"/>
  <c r="E110" i="2"/>
  <c r="D144" i="2"/>
  <c r="D136" i="2" s="1"/>
  <c r="C110" i="2"/>
  <c r="C90" i="2"/>
  <c r="E144" i="2"/>
  <c r="E100" i="2"/>
  <c r="J84" i="2"/>
  <c r="G84" i="2"/>
  <c r="H84" i="2"/>
  <c r="I84" i="2"/>
  <c r="F89" i="2"/>
  <c r="C95" i="2"/>
  <c r="F88" i="2"/>
  <c r="F90" i="2"/>
  <c r="F94" i="2"/>
  <c r="E93" i="2"/>
  <c r="G93" i="2"/>
  <c r="C134" i="2"/>
  <c r="C133" i="2" s="1"/>
  <c r="D74" i="2"/>
  <c r="F62" i="2"/>
  <c r="F60" i="2"/>
  <c r="F64" i="2"/>
  <c r="I59" i="2"/>
  <c r="F69" i="2"/>
  <c r="F61" i="2"/>
  <c r="F66" i="2"/>
  <c r="F70" i="2"/>
  <c r="C57" i="2"/>
  <c r="D59" i="2"/>
  <c r="D57" i="2"/>
  <c r="E60" i="2"/>
  <c r="E57" i="2"/>
  <c r="C60" i="2"/>
  <c r="F42" i="2"/>
  <c r="F43" i="2"/>
  <c r="F47" i="2"/>
  <c r="F44" i="2"/>
  <c r="F56" i="2"/>
  <c r="G33" i="2"/>
  <c r="F33" i="2" s="1"/>
  <c r="G46" i="2"/>
  <c r="G45" i="2"/>
  <c r="I28" i="2"/>
  <c r="H46" i="2"/>
  <c r="H45" i="2"/>
  <c r="H28" i="2"/>
  <c r="J46" i="2"/>
  <c r="J45" i="2"/>
  <c r="J41" i="2"/>
  <c r="F41" i="2" s="1"/>
  <c r="I46" i="2"/>
  <c r="I45" i="2"/>
  <c r="I26" i="2"/>
  <c r="F26" i="2" s="1"/>
  <c r="D21" i="2"/>
  <c r="D16" i="2" s="1"/>
  <c r="F31" i="2"/>
  <c r="J14" i="2"/>
  <c r="E121" i="2"/>
  <c r="F32" i="2"/>
  <c r="F25" i="2"/>
  <c r="E69" i="2"/>
  <c r="G38" i="2"/>
  <c r="G81" i="18"/>
  <c r="F17" i="2"/>
  <c r="D10" i="2"/>
  <c r="F18" i="2"/>
  <c r="E84" i="2"/>
  <c r="G15" i="2"/>
  <c r="F11" i="2"/>
  <c r="I10" i="2"/>
  <c r="H12" i="2"/>
  <c r="C10" i="2"/>
  <c r="G65" i="2"/>
  <c r="J10" i="2"/>
  <c r="H34" i="2"/>
  <c r="E123" i="2"/>
  <c r="H9" i="2"/>
  <c r="H160" i="2"/>
  <c r="G29" i="2"/>
  <c r="H38" i="2"/>
  <c r="H29" i="2"/>
  <c r="J38" i="2"/>
  <c r="G9" i="2"/>
  <c r="E17" i="2"/>
  <c r="E42" i="2"/>
  <c r="E64" i="2"/>
  <c r="E70" i="2"/>
  <c r="E141" i="2"/>
  <c r="J81" i="18"/>
  <c r="E44" i="2"/>
  <c r="E89" i="2"/>
  <c r="E88" i="2"/>
  <c r="E33" i="2"/>
  <c r="E11" i="2"/>
  <c r="E90" i="2"/>
  <c r="D81" i="18"/>
  <c r="E81" i="18" s="1"/>
  <c r="E94" i="2"/>
  <c r="E31" i="2"/>
  <c r="E115" i="2"/>
  <c r="E21" i="2"/>
  <c r="I21" i="2"/>
  <c r="E38" i="2"/>
  <c r="I35" i="2"/>
  <c r="G53" i="2"/>
  <c r="J53" i="2"/>
  <c r="H27" i="2"/>
  <c r="G27" i="2"/>
  <c r="I28" i="19"/>
  <c r="H92" i="2"/>
  <c r="H10" i="2"/>
  <c r="G10" i="2"/>
  <c r="I27" i="2"/>
  <c r="H53" i="2"/>
  <c r="E61" i="2"/>
  <c r="E132" i="2"/>
  <c r="G34" i="2"/>
  <c r="H21" i="2"/>
  <c r="J27" i="2"/>
  <c r="E24" i="2"/>
  <c r="H35" i="2"/>
  <c r="G35" i="2"/>
  <c r="E43" i="2"/>
  <c r="G116" i="2"/>
  <c r="G115" i="2"/>
  <c r="J115" i="2"/>
  <c r="I115" i="2"/>
  <c r="H115" i="2"/>
  <c r="I81" i="18"/>
  <c r="E131" i="2"/>
  <c r="E137" i="2"/>
  <c r="I9" i="2"/>
  <c r="I29" i="2"/>
  <c r="G137" i="2"/>
  <c r="G71" i="2" l="1"/>
  <c r="Q17" i="20"/>
  <c r="AA17" i="20" s="1"/>
  <c r="N23" i="20"/>
  <c r="X23" i="20" s="1"/>
  <c r="P17" i="20"/>
  <c r="Z17" i="20" s="1"/>
  <c r="O17" i="20"/>
  <c r="Y17" i="20" s="1"/>
  <c r="N17" i="20"/>
  <c r="O23" i="20"/>
  <c r="Y23" i="20" s="1"/>
  <c r="O24" i="20"/>
  <c r="Y24" i="20" s="1"/>
  <c r="Q23" i="20"/>
  <c r="AA23" i="20" s="1"/>
  <c r="P23" i="20"/>
  <c r="Z23" i="20" s="1"/>
  <c r="Q24" i="20"/>
  <c r="AA24" i="20" s="1"/>
  <c r="P24" i="20"/>
  <c r="Z24" i="20" s="1"/>
  <c r="N24" i="20"/>
  <c r="X24" i="20" s="1"/>
  <c r="F20" i="2"/>
  <c r="J28" i="2"/>
  <c r="F28" i="2" s="1"/>
  <c r="D16" i="10"/>
  <c r="B14" i="10" s="1"/>
  <c r="G146" i="2"/>
  <c r="F146" i="2" s="1"/>
  <c r="H81" i="18"/>
  <c r="C72" i="14"/>
  <c r="C81" i="14" s="1"/>
  <c r="O21" i="20"/>
  <c r="Y21" i="20" s="1"/>
  <c r="P22" i="20"/>
  <c r="Z22" i="20" s="1"/>
  <c r="N20" i="20"/>
  <c r="X20" i="20" s="1"/>
  <c r="O18" i="20"/>
  <c r="P19" i="20"/>
  <c r="Z19" i="20" s="1"/>
  <c r="P20" i="20"/>
  <c r="Z20" i="20" s="1"/>
  <c r="Q21" i="20"/>
  <c r="AA21" i="20" s="1"/>
  <c r="N22" i="20"/>
  <c r="X22" i="20" s="1"/>
  <c r="N19" i="20"/>
  <c r="X19" i="20" s="1"/>
  <c r="Q20" i="20"/>
  <c r="AA20" i="20" s="1"/>
  <c r="O22" i="20"/>
  <c r="Y22" i="20" s="1"/>
  <c r="N21" i="20"/>
  <c r="X21" i="20" s="1"/>
  <c r="O19" i="20"/>
  <c r="Y19" i="20" s="1"/>
  <c r="N18" i="20"/>
  <c r="O20" i="20"/>
  <c r="Y20" i="20" s="1"/>
  <c r="P21" i="20"/>
  <c r="Z21" i="20" s="1"/>
  <c r="Q22" i="20"/>
  <c r="AA22" i="20" s="1"/>
  <c r="P18" i="20"/>
  <c r="Q19" i="20"/>
  <c r="AA19" i="20" s="1"/>
  <c r="Q18" i="20"/>
  <c r="E14" i="2"/>
  <c r="H71" i="2"/>
  <c r="E46" i="2"/>
  <c r="J71" i="2"/>
  <c r="I71" i="2"/>
  <c r="G28" i="10"/>
  <c r="F59" i="14" s="1"/>
  <c r="H28" i="10"/>
  <c r="M14" i="10"/>
  <c r="M15" i="10"/>
  <c r="D9" i="18"/>
  <c r="D160" i="2"/>
  <c r="D36" i="14"/>
  <c r="D27" i="18"/>
  <c r="F81" i="18"/>
  <c r="C156" i="2"/>
  <c r="C155" i="2" s="1"/>
  <c r="C162" i="2" s="1"/>
  <c r="D78" i="2"/>
  <c r="D71" i="2" s="1"/>
  <c r="D158" i="2"/>
  <c r="D68" i="14" s="1"/>
  <c r="D30" i="19"/>
  <c r="D26" i="19" s="1"/>
  <c r="D38" i="18" s="1"/>
  <c r="D34" i="18" s="1"/>
  <c r="E15" i="2"/>
  <c r="E36" i="14"/>
  <c r="F129" i="2"/>
  <c r="D157" i="2"/>
  <c r="D155" i="2" s="1"/>
  <c r="C59" i="2"/>
  <c r="C114" i="2"/>
  <c r="C105" i="2" s="1"/>
  <c r="C99" i="2" s="1"/>
  <c r="D79" i="2"/>
  <c r="J7" i="2"/>
  <c r="H7" i="2"/>
  <c r="I7" i="2"/>
  <c r="G82" i="2"/>
  <c r="G79" i="2" s="1"/>
  <c r="G7" i="2"/>
  <c r="J156" i="2"/>
  <c r="I12" i="2"/>
  <c r="E129" i="2"/>
  <c r="C132" i="2"/>
  <c r="C129" i="2" s="1"/>
  <c r="C7" i="2"/>
  <c r="F115" i="2"/>
  <c r="E156" i="2"/>
  <c r="E111" i="2"/>
  <c r="E80" i="2"/>
  <c r="F106" i="2"/>
  <c r="G123" i="2"/>
  <c r="F123" i="2" s="1"/>
  <c r="E106" i="2"/>
  <c r="C82" i="2"/>
  <c r="C79" i="2" s="1"/>
  <c r="G121" i="2"/>
  <c r="F121" i="2" s="1"/>
  <c r="G144" i="2"/>
  <c r="F144" i="2" s="1"/>
  <c r="G117" i="2"/>
  <c r="E117" i="2"/>
  <c r="E134" i="2"/>
  <c r="E133" i="2" s="1"/>
  <c r="E83" i="2"/>
  <c r="G140" i="2"/>
  <c r="D105" i="2"/>
  <c r="D99" i="2" s="1"/>
  <c r="F84" i="2"/>
  <c r="E91" i="2"/>
  <c r="H93" i="2"/>
  <c r="H82" i="2" s="1"/>
  <c r="H79" i="2" s="1"/>
  <c r="E95" i="2"/>
  <c r="E85" i="2"/>
  <c r="D37" i="2"/>
  <c r="J65" i="2"/>
  <c r="J59" i="2" s="1"/>
  <c r="J37" i="2" s="1"/>
  <c r="H65" i="2"/>
  <c r="H59" i="2" s="1"/>
  <c r="H37" i="2" s="1"/>
  <c r="I37" i="2"/>
  <c r="G68" i="2"/>
  <c r="E59" i="2"/>
  <c r="F21" i="2"/>
  <c r="F45" i="2"/>
  <c r="F27" i="2"/>
  <c r="F35" i="2"/>
  <c r="J34" i="2"/>
  <c r="F34" i="2" s="1"/>
  <c r="F38" i="2"/>
  <c r="F46" i="2"/>
  <c r="I14" i="2"/>
  <c r="F53" i="2"/>
  <c r="C45" i="2"/>
  <c r="E18" i="2"/>
  <c r="E9" i="2"/>
  <c r="F22" i="2"/>
  <c r="F29" i="2"/>
  <c r="F30" i="2"/>
  <c r="I160" i="2"/>
  <c r="H15" i="2"/>
  <c r="G12" i="2"/>
  <c r="F10" i="2"/>
  <c r="G14" i="2"/>
  <c r="H14" i="2"/>
  <c r="F9" i="2"/>
  <c r="E92" i="2"/>
  <c r="I13" i="2"/>
  <c r="E29" i="2"/>
  <c r="J116" i="2"/>
  <c r="G138" i="2"/>
  <c r="H137" i="2"/>
  <c r="J28" i="19"/>
  <c r="F28" i="19" s="1"/>
  <c r="E27" i="2"/>
  <c r="G114" i="2"/>
  <c r="D34" i="19"/>
  <c r="C34" i="19"/>
  <c r="C19" i="19"/>
  <c r="X17" i="20" l="1"/>
  <c r="W17" i="20" s="1"/>
  <c r="N16" i="20"/>
  <c r="W24" i="20"/>
  <c r="W23" i="20"/>
  <c r="W20" i="20"/>
  <c r="Z18" i="20"/>
  <c r="P16" i="20"/>
  <c r="X18" i="20"/>
  <c r="W19" i="20"/>
  <c r="AA18" i="20"/>
  <c r="Q16" i="20"/>
  <c r="W21" i="20"/>
  <c r="W22" i="20"/>
  <c r="Y18" i="20"/>
  <c r="O16" i="20"/>
  <c r="O15" i="20" s="1"/>
  <c r="O28" i="20" s="1"/>
  <c r="F71" i="2"/>
  <c r="B15" i="10"/>
  <c r="E71" i="2"/>
  <c r="Q15" i="20"/>
  <c r="Q28" i="20" s="1"/>
  <c r="P15" i="20"/>
  <c r="P28" i="20" s="1"/>
  <c r="E45" i="2"/>
  <c r="E37" i="2" s="1"/>
  <c r="E72" i="14"/>
  <c r="E81" i="14" s="1"/>
  <c r="D73" i="14"/>
  <c r="D82" i="14" s="1"/>
  <c r="D74" i="14"/>
  <c r="C73" i="14"/>
  <c r="C82" i="14" s="1"/>
  <c r="E160" i="2"/>
  <c r="M16" i="10"/>
  <c r="C14" i="10" s="1"/>
  <c r="O14" i="10"/>
  <c r="E34" i="14"/>
  <c r="F13" i="22"/>
  <c r="O15" i="10"/>
  <c r="H9" i="18"/>
  <c r="C37" i="2"/>
  <c r="E7" i="2"/>
  <c r="F7" i="2"/>
  <c r="H116" i="2"/>
  <c r="J12" i="2"/>
  <c r="F12" i="2" s="1"/>
  <c r="E116" i="2"/>
  <c r="E114" i="2" s="1"/>
  <c r="G157" i="2"/>
  <c r="G155" i="2" s="1"/>
  <c r="G13" i="2"/>
  <c r="H156" i="2"/>
  <c r="I156" i="2"/>
  <c r="E13" i="2"/>
  <c r="E12" i="2"/>
  <c r="E82" i="2"/>
  <c r="E79" i="2" s="1"/>
  <c r="F140" i="2"/>
  <c r="F117" i="2"/>
  <c r="E9" i="18"/>
  <c r="I92" i="2"/>
  <c r="I93" i="2"/>
  <c r="F65" i="2"/>
  <c r="G59" i="2"/>
  <c r="F68" i="2"/>
  <c r="G19" i="2"/>
  <c r="J19" i="2"/>
  <c r="F14" i="2"/>
  <c r="I15" i="2"/>
  <c r="E10" i="2"/>
  <c r="I137" i="2"/>
  <c r="H138" i="2"/>
  <c r="E138" i="2"/>
  <c r="W18" i="20" l="1"/>
  <c r="Y16" i="20"/>
  <c r="H58" i="18" s="1"/>
  <c r="H57" i="18" s="1"/>
  <c r="N15" i="20"/>
  <c r="M15" i="20" s="1"/>
  <c r="X16" i="20"/>
  <c r="G58" i="18" s="1"/>
  <c r="G57" i="18" s="1"/>
  <c r="Y15" i="20"/>
  <c r="H14" i="3" s="1"/>
  <c r="AA16" i="20"/>
  <c r="J58" i="18" s="1"/>
  <c r="J57" i="18" s="1"/>
  <c r="I9" i="18"/>
  <c r="AA15" i="20"/>
  <c r="J14" i="3" s="1"/>
  <c r="Z15" i="20"/>
  <c r="I14" i="3" s="1"/>
  <c r="Z16" i="20"/>
  <c r="I58" i="18" s="1"/>
  <c r="I57" i="18" s="1"/>
  <c r="D148" i="2"/>
  <c r="E23" i="2"/>
  <c r="C15" i="10"/>
  <c r="J160" i="2"/>
  <c r="F160" i="2" s="1"/>
  <c r="D162" i="2"/>
  <c r="D161" i="2" s="1"/>
  <c r="F156" i="2"/>
  <c r="E157" i="2"/>
  <c r="E155" i="2" s="1"/>
  <c r="I116" i="2"/>
  <c r="F116" i="2" s="1"/>
  <c r="J114" i="2"/>
  <c r="H114" i="2"/>
  <c r="I82" i="2"/>
  <c r="I79" i="2" s="1"/>
  <c r="J92" i="2"/>
  <c r="J93" i="2"/>
  <c r="F93" i="2" s="1"/>
  <c r="F59" i="2"/>
  <c r="F37" i="2" s="1"/>
  <c r="G37" i="2"/>
  <c r="F19" i="2"/>
  <c r="F24" i="2"/>
  <c r="J15" i="2"/>
  <c r="F15" i="2" s="1"/>
  <c r="J13" i="2"/>
  <c r="F13" i="2" s="1"/>
  <c r="E27" i="18"/>
  <c r="I138" i="2"/>
  <c r="N28" i="20" l="1"/>
  <c r="J9" i="18"/>
  <c r="W16" i="20"/>
  <c r="X15" i="20"/>
  <c r="G14" i="3" s="1"/>
  <c r="F14" i="3" s="1"/>
  <c r="F9" i="3" s="1"/>
  <c r="F35" i="14" s="1"/>
  <c r="F57" i="18"/>
  <c r="F55" i="18" s="1"/>
  <c r="F52" i="18" s="1"/>
  <c r="F58" i="18"/>
  <c r="F36" i="14"/>
  <c r="G23" i="2"/>
  <c r="G27" i="18"/>
  <c r="I23" i="2"/>
  <c r="I16" i="2" s="1"/>
  <c r="I8" i="2" s="1"/>
  <c r="I36" i="2" s="1"/>
  <c r="I27" i="18"/>
  <c r="H23" i="2"/>
  <c r="H16" i="2" s="1"/>
  <c r="H8" i="2" s="1"/>
  <c r="H36" i="2" s="1"/>
  <c r="H27" i="18"/>
  <c r="J23" i="2"/>
  <c r="J16" i="2" s="1"/>
  <c r="J8" i="2" s="1"/>
  <c r="E32" i="19"/>
  <c r="J137" i="2"/>
  <c r="F137" i="2" s="1"/>
  <c r="I114" i="2"/>
  <c r="F114" i="2" s="1"/>
  <c r="J157" i="2"/>
  <c r="J155" i="2" s="1"/>
  <c r="H157" i="2"/>
  <c r="H155" i="2" s="1"/>
  <c r="F92" i="2"/>
  <c r="F82" i="2" s="1"/>
  <c r="J82" i="2"/>
  <c r="J79" i="2" s="1"/>
  <c r="J152" i="2" s="1"/>
  <c r="E19" i="2"/>
  <c r="E16" i="2" s="1"/>
  <c r="E8" i="2" s="1"/>
  <c r="R26" i="20"/>
  <c r="R15" i="20"/>
  <c r="R14" i="20"/>
  <c r="R13" i="20"/>
  <c r="R9" i="20"/>
  <c r="R8" i="20"/>
  <c r="G28" i="20"/>
  <c r="F28" i="20"/>
  <c r="E28" i="20"/>
  <c r="D28" i="20"/>
  <c r="M26" i="20"/>
  <c r="C26" i="20"/>
  <c r="H15" i="20"/>
  <c r="C15" i="20"/>
  <c r="M14" i="20"/>
  <c r="H14" i="20"/>
  <c r="C14" i="20"/>
  <c r="C13" i="20"/>
  <c r="C9" i="20"/>
  <c r="M8" i="20"/>
  <c r="H8" i="20"/>
  <c r="C8" i="20"/>
  <c r="E31" i="14"/>
  <c r="C31" i="14"/>
  <c r="C30" i="14"/>
  <c r="F57" i="14"/>
  <c r="F56" i="14" s="1"/>
  <c r="F51" i="14"/>
  <c r="F55" i="14"/>
  <c r="F54" i="14"/>
  <c r="F53" i="14"/>
  <c r="D9" i="3"/>
  <c r="H9" i="3"/>
  <c r="I9" i="3"/>
  <c r="J9" i="3"/>
  <c r="D76" i="18"/>
  <c r="D74" i="18" s="1"/>
  <c r="E76" i="18"/>
  <c r="E74" i="18" s="1"/>
  <c r="G76" i="18"/>
  <c r="G74" i="18" s="1"/>
  <c r="H76" i="18"/>
  <c r="H74" i="18" s="1"/>
  <c r="I76" i="18"/>
  <c r="I74" i="18" s="1"/>
  <c r="J76" i="18"/>
  <c r="J74" i="18" s="1"/>
  <c r="C76" i="18"/>
  <c r="C74" i="18" s="1"/>
  <c r="F74" i="18"/>
  <c r="D69" i="18"/>
  <c r="D67" i="18" s="1"/>
  <c r="E69" i="18"/>
  <c r="E67" i="18" s="1"/>
  <c r="G69" i="18"/>
  <c r="G67" i="18" s="1"/>
  <c r="G84" i="18" s="1"/>
  <c r="H69" i="18"/>
  <c r="H67" i="18" s="1"/>
  <c r="I69" i="18"/>
  <c r="J69" i="18"/>
  <c r="J67" i="18" s="1"/>
  <c r="D17" i="18"/>
  <c r="D8" i="18" s="1"/>
  <c r="E17" i="18"/>
  <c r="E8" i="18" s="1"/>
  <c r="G17" i="18"/>
  <c r="G8" i="18" s="1"/>
  <c r="H17" i="18"/>
  <c r="H8" i="18" s="1"/>
  <c r="I17" i="18"/>
  <c r="I8" i="18" s="1"/>
  <c r="J17" i="18"/>
  <c r="C17" i="18"/>
  <c r="C8" i="18" s="1"/>
  <c r="E55" i="18"/>
  <c r="E52" i="18" s="1"/>
  <c r="G55" i="18"/>
  <c r="G52" i="18" s="1"/>
  <c r="H55" i="18"/>
  <c r="H52" i="18" s="1"/>
  <c r="I55" i="18"/>
  <c r="I52" i="18" s="1"/>
  <c r="I93" i="18" s="1"/>
  <c r="I21" i="19" s="1"/>
  <c r="J55" i="18"/>
  <c r="J52" i="18" s="1"/>
  <c r="D44" i="18"/>
  <c r="E44" i="18"/>
  <c r="F44" i="18"/>
  <c r="G44" i="18"/>
  <c r="H44" i="18"/>
  <c r="I44" i="18"/>
  <c r="J44" i="18"/>
  <c r="C44" i="18"/>
  <c r="D30" i="18"/>
  <c r="E30" i="18"/>
  <c r="F30" i="18"/>
  <c r="G30" i="18"/>
  <c r="H30" i="18"/>
  <c r="I30" i="18"/>
  <c r="J30" i="18"/>
  <c r="C30" i="18"/>
  <c r="C26" i="18" s="1"/>
  <c r="D26" i="18"/>
  <c r="D37" i="19"/>
  <c r="E37" i="19"/>
  <c r="G37" i="19"/>
  <c r="H37" i="19"/>
  <c r="I37" i="19"/>
  <c r="J37" i="19"/>
  <c r="C37" i="19"/>
  <c r="C40" i="19" s="1"/>
  <c r="C23" i="14" s="1"/>
  <c r="D21" i="14"/>
  <c r="D40" i="19"/>
  <c r="D23" i="14" s="1"/>
  <c r="D22" i="14"/>
  <c r="C22" i="14"/>
  <c r="H20" i="14"/>
  <c r="I20" i="14"/>
  <c r="J20" i="14"/>
  <c r="G20" i="14"/>
  <c r="F20" i="14"/>
  <c r="E20" i="14"/>
  <c r="D20" i="14"/>
  <c r="C20" i="14"/>
  <c r="D19" i="14"/>
  <c r="C19" i="14"/>
  <c r="C18" i="14"/>
  <c r="H12" i="14"/>
  <c r="I12" i="14"/>
  <c r="J12" i="14"/>
  <c r="G12" i="14"/>
  <c r="F12" i="14"/>
  <c r="E12" i="14"/>
  <c r="D12" i="14"/>
  <c r="C12" i="14"/>
  <c r="C8" i="2"/>
  <c r="D152" i="2"/>
  <c r="E152" i="2"/>
  <c r="G152" i="2"/>
  <c r="H152" i="2"/>
  <c r="I152" i="2"/>
  <c r="C152" i="2"/>
  <c r="D8" i="2"/>
  <c r="B25" i="14"/>
  <c r="H93" i="18" l="1"/>
  <c r="H21" i="19" s="1"/>
  <c r="G93" i="18"/>
  <c r="F37" i="19"/>
  <c r="J27" i="18"/>
  <c r="F27" i="18" s="1"/>
  <c r="J8" i="18"/>
  <c r="G94" i="18"/>
  <c r="F9" i="18"/>
  <c r="C42" i="18"/>
  <c r="F69" i="18"/>
  <c r="F67" i="18" s="1"/>
  <c r="F84" i="18" s="1"/>
  <c r="G9" i="3"/>
  <c r="W15" i="20"/>
  <c r="M28" i="20"/>
  <c r="G32" i="19"/>
  <c r="J32" i="19"/>
  <c r="I32" i="19"/>
  <c r="H32" i="19"/>
  <c r="F23" i="2"/>
  <c r="F16" i="2" s="1"/>
  <c r="F8" i="2" s="1"/>
  <c r="F36" i="2" s="1"/>
  <c r="F14" i="14" s="1"/>
  <c r="G16" i="2"/>
  <c r="G8" i="2" s="1"/>
  <c r="G36" i="2" s="1"/>
  <c r="G14" i="14" s="1"/>
  <c r="R28" i="20"/>
  <c r="F17" i="18"/>
  <c r="F79" i="2"/>
  <c r="F152" i="2" s="1"/>
  <c r="G89" i="18" s="1"/>
  <c r="D25" i="14"/>
  <c r="D35" i="14"/>
  <c r="F34" i="14"/>
  <c r="G13" i="22"/>
  <c r="F31" i="14" s="1"/>
  <c r="I67" i="18"/>
  <c r="I84" i="18" s="1"/>
  <c r="E84" i="18"/>
  <c r="F65" i="18"/>
  <c r="H65" i="18"/>
  <c r="J65" i="18"/>
  <c r="I65" i="18"/>
  <c r="G65" i="18"/>
  <c r="E65" i="18"/>
  <c r="F25" i="14"/>
  <c r="H84" i="18"/>
  <c r="J84" i="18"/>
  <c r="D84" i="18"/>
  <c r="D65" i="18"/>
  <c r="D42" i="18"/>
  <c r="C84" i="18"/>
  <c r="C65" i="18"/>
  <c r="C21" i="14"/>
  <c r="H25" i="14"/>
  <c r="I25" i="14"/>
  <c r="G25" i="14"/>
  <c r="J25" i="14"/>
  <c r="H28" i="20"/>
  <c r="Y28" i="20"/>
  <c r="J138" i="2"/>
  <c r="F138" i="2" s="1"/>
  <c r="I157" i="2"/>
  <c r="I155" i="2" s="1"/>
  <c r="D36" i="2"/>
  <c r="D14" i="14" s="1"/>
  <c r="C13" i="14"/>
  <c r="E36" i="2"/>
  <c r="E14" i="14" s="1"/>
  <c r="D13" i="14"/>
  <c r="C36" i="2"/>
  <c r="C14" i="14" s="1"/>
  <c r="C153" i="2"/>
  <c r="I13" i="14"/>
  <c r="D153" i="2"/>
  <c r="Z28" i="20"/>
  <c r="AA28" i="20"/>
  <c r="C28" i="20"/>
  <c r="X28" i="20"/>
  <c r="J13" i="14"/>
  <c r="H14" i="14"/>
  <c r="I14" i="14"/>
  <c r="H13" i="14"/>
  <c r="J36" i="2"/>
  <c r="E13" i="14"/>
  <c r="J93" i="18" l="1"/>
  <c r="F93" i="18" s="1"/>
  <c r="G21" i="19"/>
  <c r="F89" i="18"/>
  <c r="F8" i="18"/>
  <c r="G13" i="14"/>
  <c r="F13" i="14"/>
  <c r="F32" i="19"/>
  <c r="D34" i="14"/>
  <c r="E13" i="22"/>
  <c r="D31" i="14" s="1"/>
  <c r="W28" i="20"/>
  <c r="C85" i="18"/>
  <c r="C88" i="18" s="1"/>
  <c r="E86" i="18" s="1"/>
  <c r="D85" i="18"/>
  <c r="D88" i="18" s="1"/>
  <c r="D90" i="18" s="1"/>
  <c r="F157" i="2"/>
  <c r="F155" i="2" s="1"/>
  <c r="D126" i="2"/>
  <c r="D147" i="2" s="1"/>
  <c r="C126" i="2"/>
  <c r="C147" i="2" s="1"/>
  <c r="C150" i="2" s="1"/>
  <c r="J14" i="14"/>
  <c r="J94" i="18" l="1"/>
  <c r="F94" i="18" s="1"/>
  <c r="J21" i="19"/>
  <c r="H89" i="18"/>
  <c r="C90" i="18"/>
  <c r="D40" i="14"/>
  <c r="D37" i="14" s="1"/>
  <c r="D33" i="14" s="1"/>
  <c r="H29" i="20"/>
  <c r="W29" i="20"/>
  <c r="M29" i="20"/>
  <c r="D15" i="14"/>
  <c r="D150" i="2"/>
  <c r="D16" i="14" l="1"/>
  <c r="E9" i="22" s="1"/>
  <c r="D27" i="14" s="1"/>
  <c r="D8" i="19"/>
  <c r="D17" i="19" s="1"/>
  <c r="D41" i="14"/>
  <c r="C15" i="14"/>
  <c r="C16" i="14" l="1"/>
  <c r="D11" i="22" s="1"/>
  <c r="C29" i="14" s="1"/>
  <c r="C8" i="19"/>
  <c r="C17" i="19" s="1"/>
  <c r="E9" i="19" s="1"/>
  <c r="J108" i="2"/>
  <c r="G108" i="2"/>
  <c r="I108" i="2"/>
  <c r="H108" i="2"/>
  <c r="E10" i="22" l="1"/>
  <c r="D28" i="14" s="1"/>
  <c r="D9" i="22"/>
  <c r="C27" i="14" s="1"/>
  <c r="D10" i="22"/>
  <c r="C28" i="14" s="1"/>
  <c r="E109" i="2"/>
  <c r="F108" i="2"/>
  <c r="I109" i="2"/>
  <c r="I105" i="2" s="1"/>
  <c r="I99" i="2" s="1"/>
  <c r="H109" i="2"/>
  <c r="H105" i="2" s="1"/>
  <c r="H99" i="2" s="1"/>
  <c r="G109" i="2"/>
  <c r="J109" i="2"/>
  <c r="J105" i="2" s="1"/>
  <c r="J99" i="2" s="1"/>
  <c r="E108" i="2" l="1"/>
  <c r="E105" i="2" s="1"/>
  <c r="E99" i="2" s="1"/>
  <c r="G105" i="2"/>
  <c r="G99" i="2" s="1"/>
  <c r="F109" i="2"/>
  <c r="F105" i="2" s="1"/>
  <c r="F99" i="2" s="1"/>
  <c r="D49" i="14" l="1"/>
  <c r="E11" i="22" l="1"/>
  <c r="D29" i="14" s="1"/>
  <c r="E12" i="22"/>
  <c r="D30" i="14" s="1"/>
  <c r="G74" i="2"/>
  <c r="G35" i="19" l="1"/>
  <c r="G22" i="14" s="1"/>
  <c r="G30" i="19"/>
  <c r="G26" i="19" s="1"/>
  <c r="G158" i="2"/>
  <c r="G68" i="14" s="1"/>
  <c r="G159" i="2"/>
  <c r="E74" i="2"/>
  <c r="H74" i="2"/>
  <c r="G75" i="2"/>
  <c r="G78" i="2" s="1"/>
  <c r="G34" i="19" l="1"/>
  <c r="G73" i="14"/>
  <c r="G74" i="14"/>
  <c r="H31" i="19"/>
  <c r="H158" i="2"/>
  <c r="E93" i="18"/>
  <c r="E21" i="19" s="1"/>
  <c r="G37" i="18"/>
  <c r="G28" i="18" s="1"/>
  <c r="I74" i="2"/>
  <c r="H75" i="2"/>
  <c r="H78" i="2" s="1"/>
  <c r="E31" i="19"/>
  <c r="E30" i="19" s="1"/>
  <c r="E26" i="19" s="1"/>
  <c r="E158" i="2"/>
  <c r="E68" i="14" s="1"/>
  <c r="E74" i="14" l="1"/>
  <c r="E73" i="14"/>
  <c r="E82" i="14" s="1"/>
  <c r="G82" i="14"/>
  <c r="G126" i="2"/>
  <c r="H126" i="2"/>
  <c r="I142" i="2"/>
  <c r="I136" i="2" s="1"/>
  <c r="G21" i="14"/>
  <c r="G38" i="18"/>
  <c r="G142" i="2"/>
  <c r="J74" i="2"/>
  <c r="H142" i="2"/>
  <c r="H136" i="2" s="1"/>
  <c r="E75" i="2"/>
  <c r="E78" i="2" s="1"/>
  <c r="H68" i="14"/>
  <c r="E38" i="18"/>
  <c r="E21" i="14"/>
  <c r="I158" i="2"/>
  <c r="I31" i="19"/>
  <c r="I30" i="19" s="1"/>
  <c r="I26" i="19" s="1"/>
  <c r="E142" i="2"/>
  <c r="E136" i="2" s="1"/>
  <c r="H30" i="19"/>
  <c r="H159" i="2"/>
  <c r="H35" i="19"/>
  <c r="H24" i="19"/>
  <c r="I75" i="2"/>
  <c r="I78" i="2" s="1"/>
  <c r="E24" i="19"/>
  <c r="E37" i="18" s="1"/>
  <c r="E28" i="18" s="1"/>
  <c r="E29" i="18" s="1"/>
  <c r="G29" i="18" s="1"/>
  <c r="H73" i="14" l="1"/>
  <c r="H82" i="14" s="1"/>
  <c r="H74" i="14"/>
  <c r="H147" i="2"/>
  <c r="E36" i="18"/>
  <c r="E19" i="14"/>
  <c r="G136" i="2"/>
  <c r="G147" i="2" s="1"/>
  <c r="H26" i="19"/>
  <c r="I24" i="19"/>
  <c r="I37" i="18" s="1"/>
  <c r="I28" i="18" s="1"/>
  <c r="E35" i="19"/>
  <c r="E159" i="2"/>
  <c r="J158" i="2"/>
  <c r="F158" i="2" s="1"/>
  <c r="J31" i="19"/>
  <c r="J75" i="2"/>
  <c r="F75" i="2" s="1"/>
  <c r="H37" i="18"/>
  <c r="H28" i="18" s="1"/>
  <c r="H29" i="18" s="1"/>
  <c r="H34" i="19"/>
  <c r="H22" i="14"/>
  <c r="I38" i="18"/>
  <c r="I21" i="14"/>
  <c r="I159" i="2"/>
  <c r="I35" i="19"/>
  <c r="I68" i="14"/>
  <c r="F74" i="2"/>
  <c r="H148" i="2" l="1"/>
  <c r="H153" i="2" s="1"/>
  <c r="H20" i="19"/>
  <c r="I148" i="2"/>
  <c r="I153" i="2" s="1"/>
  <c r="I20" i="19"/>
  <c r="J78" i="2"/>
  <c r="F78" i="2" s="1"/>
  <c r="H15" i="14"/>
  <c r="I73" i="14"/>
  <c r="I82" i="14" s="1"/>
  <c r="I74" i="14"/>
  <c r="I29" i="18"/>
  <c r="E126" i="2"/>
  <c r="E147" i="2" s="1"/>
  <c r="J126" i="2"/>
  <c r="J159" i="2"/>
  <c r="F159" i="2" s="1"/>
  <c r="J35" i="19"/>
  <c r="F35" i="19" s="1"/>
  <c r="F22" i="14" s="1"/>
  <c r="J24" i="19"/>
  <c r="J68" i="14"/>
  <c r="F68" i="14"/>
  <c r="F74" i="14" s="1"/>
  <c r="G15" i="14"/>
  <c r="J142" i="2"/>
  <c r="I126" i="2"/>
  <c r="I147" i="2" s="1"/>
  <c r="J30" i="19"/>
  <c r="F31" i="19"/>
  <c r="E22" i="14"/>
  <c r="E34" i="19"/>
  <c r="H38" i="18"/>
  <c r="H21" i="14"/>
  <c r="I22" i="14"/>
  <c r="I34" i="19"/>
  <c r="H18" i="14" l="1"/>
  <c r="H35" i="18"/>
  <c r="I18" i="14"/>
  <c r="I35" i="18"/>
  <c r="H150" i="2"/>
  <c r="H16" i="14" s="1"/>
  <c r="G161" i="2"/>
  <c r="G162" i="2" s="1"/>
  <c r="G148" i="2"/>
  <c r="G20" i="19"/>
  <c r="I36" i="18"/>
  <c r="I19" i="14"/>
  <c r="I19" i="19"/>
  <c r="I40" i="19" s="1"/>
  <c r="I23" i="14" s="1"/>
  <c r="H19" i="14"/>
  <c r="H19" i="19"/>
  <c r="H40" i="19" s="1"/>
  <c r="H23" i="14" s="1"/>
  <c r="H36" i="18"/>
  <c r="H34" i="18" s="1"/>
  <c r="H26" i="18" s="1"/>
  <c r="H42" i="18" s="1"/>
  <c r="H85" i="18" s="1"/>
  <c r="J73" i="14"/>
  <c r="J82" i="14" s="1"/>
  <c r="J74" i="14"/>
  <c r="I8" i="19"/>
  <c r="H161" i="2"/>
  <c r="H162" i="2" s="1"/>
  <c r="E161" i="2"/>
  <c r="E162" i="2" s="1"/>
  <c r="F126" i="2"/>
  <c r="I161" i="2"/>
  <c r="I162" i="2" s="1"/>
  <c r="J26" i="19"/>
  <c r="F30" i="19"/>
  <c r="J37" i="18"/>
  <c r="J28" i="18" s="1"/>
  <c r="F24" i="19"/>
  <c r="F37" i="18" s="1"/>
  <c r="I150" i="2"/>
  <c r="I16" i="14" s="1"/>
  <c r="I15" i="14"/>
  <c r="J136" i="2"/>
  <c r="J147" i="2" s="1"/>
  <c r="F142" i="2"/>
  <c r="J22" i="14"/>
  <c r="J34" i="19"/>
  <c r="F34" i="19" s="1"/>
  <c r="H8" i="19"/>
  <c r="E15" i="14"/>
  <c r="I34" i="18" l="1"/>
  <c r="I26" i="18" s="1"/>
  <c r="I42" i="18" s="1"/>
  <c r="I85" i="18" s="1"/>
  <c r="G18" i="14"/>
  <c r="G35" i="18"/>
  <c r="G153" i="2"/>
  <c r="G150" i="2"/>
  <c r="G16" i="14" s="1"/>
  <c r="F73" i="14"/>
  <c r="F82" i="14" s="1"/>
  <c r="J15" i="14"/>
  <c r="J38" i="18"/>
  <c r="J21" i="14"/>
  <c r="F26" i="19"/>
  <c r="F38" i="18" s="1"/>
  <c r="I17" i="19"/>
  <c r="J9" i="19"/>
  <c r="G36" i="18"/>
  <c r="G19" i="14"/>
  <c r="G19" i="19"/>
  <c r="G40" i="19" s="1"/>
  <c r="G23" i="14" s="1"/>
  <c r="I9" i="19"/>
  <c r="H17" i="19"/>
  <c r="F136" i="2"/>
  <c r="J29" i="18"/>
  <c r="F29" i="18" s="1"/>
  <c r="F28" i="18"/>
  <c r="G34" i="18" l="1"/>
  <c r="G26" i="18" s="1"/>
  <c r="G42" i="18" s="1"/>
  <c r="G85" i="18" s="1"/>
  <c r="J148" i="2"/>
  <c r="J153" i="2" s="1"/>
  <c r="E20" i="19"/>
  <c r="E148" i="2"/>
  <c r="E150" i="2" s="1"/>
  <c r="F147" i="2"/>
  <c r="J161" i="2"/>
  <c r="F21" i="14"/>
  <c r="F21" i="19"/>
  <c r="E18" i="14" l="1"/>
  <c r="E35" i="18"/>
  <c r="E34" i="18" s="1"/>
  <c r="E26" i="18" s="1"/>
  <c r="E42" i="18" s="1"/>
  <c r="E85" i="18" s="1"/>
  <c r="E88" i="18" s="1"/>
  <c r="J150" i="2"/>
  <c r="J16" i="14" s="1"/>
  <c r="E153" i="2"/>
  <c r="F9" i="19"/>
  <c r="G9" i="19"/>
  <c r="E49" i="14"/>
  <c r="F12" i="22" s="1"/>
  <c r="E30" i="14" s="1"/>
  <c r="E16" i="14"/>
  <c r="F9" i="22" s="1"/>
  <c r="E27" i="14" s="1"/>
  <c r="E8" i="19"/>
  <c r="J20" i="19"/>
  <c r="F148" i="2"/>
  <c r="F153" i="2" s="1"/>
  <c r="F15" i="14"/>
  <c r="J162" i="2"/>
  <c r="F161" i="2"/>
  <c r="F162" i="2" s="1"/>
  <c r="J19" i="14"/>
  <c r="J36" i="18"/>
  <c r="G90" i="18" l="1"/>
  <c r="J19" i="19"/>
  <c r="J40" i="19" s="1"/>
  <c r="J23" i="14" s="1"/>
  <c r="J35" i="18"/>
  <c r="J34" i="18" s="1"/>
  <c r="J26" i="18" s="1"/>
  <c r="J42" i="18" s="1"/>
  <c r="J85" i="18" s="1"/>
  <c r="G86" i="18"/>
  <c r="G88" i="18" s="1"/>
  <c r="H86" i="18" s="1"/>
  <c r="H88" i="18" s="1"/>
  <c r="I86" i="18" s="1"/>
  <c r="I88" i="18" s="1"/>
  <c r="J86" i="18" s="1"/>
  <c r="F86" i="18"/>
  <c r="E40" i="14"/>
  <c r="E37" i="14" s="1"/>
  <c r="E33" i="14" s="1"/>
  <c r="E41" i="14" s="1"/>
  <c r="F10" i="22" s="1"/>
  <c r="E28" i="14" s="1"/>
  <c r="F11" i="22"/>
  <c r="E29" i="14" s="1"/>
  <c r="F150" i="2"/>
  <c r="F16" i="14" s="1"/>
  <c r="G9" i="22" s="1"/>
  <c r="F27" i="14" s="1"/>
  <c r="J8" i="19"/>
  <c r="F20" i="19"/>
  <c r="J18" i="14"/>
  <c r="F36" i="18"/>
  <c r="F19" i="14"/>
  <c r="G91" i="18" l="1"/>
  <c r="J88" i="18"/>
  <c r="F18" i="14"/>
  <c r="F35" i="18"/>
  <c r="F19" i="19"/>
  <c r="F40" i="19" s="1"/>
  <c r="F23" i="14" s="1"/>
  <c r="E17" i="19"/>
  <c r="F49" i="14"/>
  <c r="G11" i="22" s="1"/>
  <c r="F29" i="14" s="1"/>
  <c r="E19" i="19"/>
  <c r="E40" i="19" s="1"/>
  <c r="E23" i="14" s="1"/>
  <c r="J17" i="19"/>
  <c r="F17" i="19" s="1"/>
  <c r="F8" i="19"/>
  <c r="F34" i="18" l="1"/>
  <c r="F26" i="18" s="1"/>
  <c r="F42" i="18" s="1"/>
  <c r="F85" i="18" s="1"/>
  <c r="F88" i="18" s="1"/>
  <c r="F40" i="14" s="1"/>
  <c r="F37" i="14" s="1"/>
  <c r="F33" i="14" s="1"/>
  <c r="F41" i="14" s="1"/>
  <c r="G10" i="22" s="1"/>
  <c r="F28" i="14" s="1"/>
  <c r="F90" i="18"/>
  <c r="G12" i="22"/>
  <c r="F30" i="14" s="1"/>
  <c r="H90" i="18" l="1"/>
  <c r="F91" i="18"/>
  <c r="H91" i="18" s="1"/>
</calcChain>
</file>

<file path=xl/sharedStrings.xml><?xml version="1.0" encoding="utf-8"?>
<sst xmlns="http://schemas.openxmlformats.org/spreadsheetml/2006/main" count="853" uniqueCount="569">
  <si>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</si>
  <si>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</si>
  <si>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</si>
  <si>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</si>
  <si>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</si>
  <si>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</si>
  <si>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</si>
  <si>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</si>
  <si>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</si>
  <si>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</si>
  <si>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</si>
  <si>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</si>
  <si>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</si>
  <si>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</si>
  <si>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</si>
  <si>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х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</si>
  <si>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</si>
  <si>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</si>
  <si>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</si>
  <si>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</si>
  <si>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</si>
  <si>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</si>
  <si>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</si>
  <si>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</si>
  <si>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</si>
  <si>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</si>
  <si>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відрахування до резерву сумнівних боргів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</si>
  <si>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</si>
  <si>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</si>
  <si>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</si>
  <si>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</si>
  <si>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</si>
  <si>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</si>
  <si>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</si>
  <si>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</si>
  <si>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</si>
  <si>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</si>
  <si>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</si>
  <si>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</si>
  <si>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</si>
  <si>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</si>
  <si>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</si>
  <si>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</si>
  <si>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</si>
  <si>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</si>
  <si>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</si>
  <si>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</si>
  <si>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</si>
  <si>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</si>
  <si>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</si>
  <si>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І. Формування фінансових результатів</t>
  </si>
  <si>
    <t>у тому числі:</t>
  </si>
  <si>
    <t>_____________________________</t>
  </si>
  <si>
    <t>витрати, пов'язані з використанням власних службових автомобілів</t>
  </si>
  <si>
    <t>Інші фінансові доходи (розшифрувати)</t>
  </si>
  <si>
    <t>Фінансові витрати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</si>
  <si>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</si>
  <si>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</si>
  <si>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</si>
  <si>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</si>
  <si>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у тому числі за основними видами діяльності за КВЕД</t>
  </si>
  <si>
    <t>Плановий рік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</si>
  <si>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</si>
  <si>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</si>
  <si>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Розподіл чистого прибутку</t>
  </si>
  <si>
    <t>Податок на прибуток підприємств</t>
  </si>
  <si>
    <t>IІ. Розрахунки з бюджетом</t>
  </si>
  <si>
    <t>І. Рух коштів у результаті операційної діяльності</t>
  </si>
  <si>
    <t>Надходження від деривативів</t>
  </si>
  <si>
    <t>Собівартість реалізованої продукції (товарів, робіт, послуг)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</si>
  <si>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</si>
  <si>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</si>
  <si>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</si>
  <si>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</si>
  <si>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</si>
  <si>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</si>
  <si>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</si>
  <si>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</si>
  <si>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</si>
  <si>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</si>
  <si>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 xml:space="preserve">IV. Капітальні інвестиції 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</si>
  <si>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</si>
  <si>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</si>
  <si>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</si>
  <si>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4010</t>
  </si>
  <si>
    <t>Адміністративні витрати, у тому числі:</t>
  </si>
  <si>
    <t>Витрати на збут, у тому числі:</t>
  </si>
  <si>
    <t>Елементи операційних витрат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</si>
  <si>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</si>
  <si>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</si>
  <si>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працівники</t>
  </si>
  <si>
    <t>Найменування показника</t>
  </si>
  <si>
    <t>Усього виплат на користь держави</t>
  </si>
  <si>
    <t>адміністративно-управлінський персонал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</si>
  <si>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</si>
  <si>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</si>
  <si>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</si>
  <si>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</si>
  <si>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</si>
  <si>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</si>
  <si>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</si>
  <si>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 xml:space="preserve">               (підпис)</t>
  </si>
  <si>
    <t>План з повернення коштів</t>
  </si>
  <si>
    <t>План із залучення коштів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</si>
  <si>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</si>
  <si>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</si>
  <si>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</si>
  <si>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</si>
  <si>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</si>
  <si>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Зокрема за кварталами </t>
  </si>
  <si>
    <t>IІ. Сплата податків, зборів та інших обов'язкових платежів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</si>
  <si>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</si>
  <si>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</si>
  <si>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III. Капітальні інвестиції</t>
  </si>
  <si>
    <t>IV. Коефіцієнтний аналіз</t>
  </si>
  <si>
    <t>Фінансовий результат до опадаткування: прибуток/збиток</t>
  </si>
  <si>
    <t>V.Звіт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</si>
  <si>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</si>
  <si>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</si>
  <si>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</si>
  <si>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</si>
  <si>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</si>
  <si>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</si>
  <si>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</si>
  <si>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</si>
  <si>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</si>
  <si>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</si>
  <si>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</si>
  <si>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>поточна кредиторська заборгованість за товари, роботи, послуги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</si>
  <si>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</si>
  <si>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</si>
  <si>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</si>
  <si>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</si>
  <si>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</si>
  <si>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</si>
  <si>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</si>
  <si>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</si>
  <si>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</si>
  <si>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</si>
  <si>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Повернено залучених коштів, усього, у тому числі:</t>
  </si>
  <si>
    <t>Заборгованість за кредитами на кінець періоду</t>
  </si>
  <si>
    <t>VII. Дані про персонал та витрати на оплату праці</t>
  </si>
  <si>
    <t>члени наглядової ради</t>
  </si>
  <si>
    <t>члени правління</t>
  </si>
  <si>
    <t>керівник</t>
  </si>
  <si>
    <t>Середньомісячні витрати на оплату праці одного працівника (грн), усього, у тому числі:</t>
  </si>
  <si>
    <t>член наглядової ради</t>
  </si>
  <si>
    <t>член правління</t>
  </si>
  <si>
    <t>керівник, усього, у тому числі:</t>
  </si>
  <si>
    <t>посадовий оклад</t>
  </si>
  <si>
    <t>8023/1</t>
  </si>
  <si>
    <t>преміювання</t>
  </si>
  <si>
    <t>8023/2</t>
  </si>
  <si>
    <t>інші виплати, передбачені законодавством</t>
  </si>
  <si>
    <t>8023/3</t>
  </si>
  <si>
    <t>адміністративно-управлінський працівник</t>
  </si>
  <si>
    <t>працівник</t>
  </si>
  <si>
    <t>витрати на зв'язок</t>
  </si>
  <si>
    <t>організаційно-технічні послуги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</si>
  <si>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</si>
  <si>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у тому числі:</t>
  </si>
  <si>
    <t>1050/1</t>
  </si>
  <si>
    <t>Інші операційні доходи, усього, у тому числі:</t>
  </si>
  <si>
    <t>нетипові операційні витрати (розшифрувати)</t>
  </si>
  <si>
    <t>Чистий фінансовий результат</t>
  </si>
  <si>
    <t xml:space="preserve">Нараховані до сплати податки, збори та інші обов'язкові платежі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</si>
  <si>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</si>
  <si>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</si>
  <si>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</si>
  <si>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</si>
  <si>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</si>
  <si>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</si>
  <si>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</si>
  <si>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</si>
  <si>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</si>
  <si>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єдиний внесок на загальнообов'язкове державне соціальне страхування</t>
  </si>
  <si>
    <t>інші податки, збори та платежі (розшифрувати)</t>
  </si>
  <si>
    <t>Інші податки, збори та платежі на користь держави, усього, у тому числі: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</si>
  <si>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</si>
  <si>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</si>
  <si>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</si>
  <si>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Сплата податків тазборів до місцевих бюджетів</t>
  </si>
  <si>
    <t>ІІІ. Рух грошових коштів (за прямим методом)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</si>
  <si>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</si>
  <si>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</si>
  <si>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</si>
  <si>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</si>
  <si>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фінансування, у тому числі:</t>
  </si>
  <si>
    <t>Надходження авансів від покупців і замовників</t>
  </si>
  <si>
    <t>позики</t>
  </si>
  <si>
    <t>Інші надходження (розшифрувати)</t>
  </si>
  <si>
    <t>Витрачання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</si>
  <si>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</si>
  <si>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</si>
  <si>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Зобов'язання з податків, зборів та інших обов'язкових платежів, у тому числі:</t>
  </si>
  <si>
    <t>податок на додану вартість</t>
  </si>
  <si>
    <t>Повернення коштів до бюджету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</si>
  <si>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</si>
  <si>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</si>
  <si>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</si>
  <si>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</si>
  <si>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>надходження від продажу акцій та облігацій</t>
  </si>
  <si>
    <t>Надходження від реалізації необоротних активів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</si>
  <si>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</si>
  <si>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</si>
  <si>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</si>
  <si>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</si>
  <si>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>витрачання на придбання акцій та облігацій</t>
  </si>
  <si>
    <t>Витрачання на придбання необоротних активів, у тому числі:</t>
  </si>
  <si>
    <t>придбання (створення) основних засобів (розшифрувати)</t>
  </si>
  <si>
    <t>капітальне будівництво (розшифрувати)</t>
  </si>
  <si>
    <t>придбання (створення) нематеріальних активів (розшифрувати)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</si>
  <si>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</si>
  <si>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</si>
  <si>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</si>
  <si>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</si>
  <si>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</si>
  <si>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</si>
  <si>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</si>
  <si>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</si>
  <si>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</si>
  <si>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</si>
  <si>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</si>
  <si>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</si>
  <si>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</si>
  <si>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</si>
  <si>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</si>
  <si>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періоду</t>
  </si>
  <si>
    <t>Вплив зміни валютних курсів на залишок коштів</t>
  </si>
  <si>
    <t>Залишок коштів на кінець періоду</t>
  </si>
  <si>
    <t>капітальний ремонт</t>
  </si>
  <si>
    <t>Код за ЄДРПОУ</t>
  </si>
  <si>
    <t>Найменування підприємства</t>
  </si>
  <si>
    <t>Вид діяльності</t>
  </si>
  <si>
    <t>ціна оди-
ниці (вар-
тість продук-
ції/нада-
них послуг), грн</t>
  </si>
  <si>
    <t xml:space="preserve">      3. Інформація щодо отримання та повернення залучених коштів</t>
  </si>
  <si>
    <t>сума основного боргу</t>
  </si>
  <si>
    <t xml:space="preserve">сума основного боргу </t>
  </si>
  <si>
    <t>відсотки нараховані</t>
  </si>
  <si>
    <t>відсотки, нарахо-
вані протягом року</t>
  </si>
  <si>
    <t>відсотки сплачені</t>
  </si>
  <si>
    <t>курсові різниці (сума основного боргу)</t>
  </si>
  <si>
    <t>курсові різниці (відсотки)</t>
  </si>
  <si>
    <t>Довгострокові зобов'язання, усього,</t>
  </si>
  <si>
    <t>Короткострокові зобов'язання, усього,</t>
  </si>
  <si>
    <t>Інші фінансові зобов'язання, усього,</t>
  </si>
  <si>
    <t>Усього:</t>
  </si>
  <si>
    <t>4.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</si>
  <si>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</si>
  <si>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</si>
  <si>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</si>
  <si>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</si>
  <si>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</si>
  <si>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</si>
  <si>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у тому числі за кварталами</t>
  </si>
  <si>
    <t>I</t>
  </si>
  <si>
    <t>II</t>
  </si>
  <si>
    <t>III</t>
  </si>
  <si>
    <t>IV</t>
  </si>
  <si>
    <t xml:space="preserve">І </t>
  </si>
  <si>
    <t xml:space="preserve">ІІ </t>
  </si>
  <si>
    <t xml:space="preserve">ІІІ </t>
  </si>
  <si>
    <t>Відсоток</t>
  </si>
  <si>
    <t>1.</t>
  </si>
  <si>
    <t>2.</t>
  </si>
  <si>
    <t>3.</t>
  </si>
  <si>
    <t>придбання (створення) нематеріальних активів (розшифрувати про ліцензійне програмне забезпечення)</t>
  </si>
  <si>
    <t>4.</t>
  </si>
  <si>
    <t>5.</t>
  </si>
  <si>
    <t>6.</t>
  </si>
  <si>
    <t>N з/п</t>
  </si>
  <si>
    <t>Рік початку і закінчення будівництва</t>
  </si>
  <si>
    <t>у тому числі</t>
  </si>
  <si>
    <t>власні кошти</t>
  </si>
  <si>
    <t>кредитні кошти</t>
  </si>
  <si>
    <t>5. Капітальне будівництво (рядок 4010 таблиці IV)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</si>
  <si>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</si>
  <si>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</si>
  <si>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</si>
  <si>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</si>
  <si>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>фінансування капітальних інвестицій (оплата грошовими коштами), усього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</si>
  <si>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</si>
  <si>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Найменування об'єкта</t>
  </si>
  <si>
    <t>Документ, яким затверджений титул будови, із зазначенням суб'єкта управління, який його погодив</t>
  </si>
  <si>
    <t xml:space="preserve">      2. Інформація про бізнес підприємства (код рядка 1000 "чистий дохід від реалізації продукції ( товарів, робіт, послуг)" фінансового плану)</t>
  </si>
  <si>
    <t>Характеризує інвестиційну політику підприємства</t>
  </si>
  <si>
    <t>Зменшення</t>
  </si>
  <si>
    <t>Коефіцієнт зносу основних засобів 
(сума зносу, рядок 6003 / первісна вартість основних засобів, рядок 6002)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</si>
  <si>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</si>
  <si>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</si>
  <si>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</si>
  <si>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Характеризує ефективність господарської діяльності підприємства</t>
  </si>
  <si>
    <t>Збільшення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</si>
  <si>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</si>
  <si>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власного капіталу
(чистий фінансовий результат, рядок 1200 / власний капітал, рядок 6080) х 100, %</t>
  </si>
  <si>
    <t>Характеризує ефективність використання активів підприємства</t>
  </si>
  <si>
    <t>Рентабельність активів
(чистий фінансовий результат, рядок 1200 / вартість активів, рядок 6020) х 100, %</t>
  </si>
  <si>
    <t>Примітки</t>
  </si>
  <si>
    <t>Оптимальне значення</t>
  </si>
  <si>
    <t>V. Коефіцієнтний аналіз</t>
  </si>
  <si>
    <t>8</t>
  </si>
  <si>
    <t>Характеризує ефективність використання власного капіталу. Показує, яка віддача (норма прибутку) на вкладений власний капітал</t>
  </si>
  <si>
    <t>VI. Інформація до фінансового плану</t>
  </si>
  <si>
    <t>інші джерела (зазначити джерело)</t>
  </si>
  <si>
    <t xml:space="preserve">       1. Перелік підприємств, які включені до консолідованого (зведеного) фінансового плану</t>
  </si>
  <si>
    <t>Зобов'язання</t>
  </si>
  <si>
    <t>інші зобов'язання з податків і зборів (розшифрувати)</t>
  </si>
  <si>
    <t>I. Розшифрування до запланованого рівня доходів/витрат</t>
  </si>
  <si>
    <t>цільове фінансування (у тому числі бюджетне)</t>
  </si>
  <si>
    <t>Найменування видів діяльності за КВЕД (із зазначенням видів робіт та наданих послуг)</t>
  </si>
  <si>
    <t>1160/1</t>
  </si>
  <si>
    <t>1160/2</t>
  </si>
  <si>
    <t>витрати на воду технологічну</t>
  </si>
  <si>
    <t>вода питна для ГВП</t>
  </si>
  <si>
    <t>ремонт основних засобів</t>
  </si>
  <si>
    <t>охорона праці</t>
  </si>
  <si>
    <t>службовий проїзд</t>
  </si>
  <si>
    <t>спецодяг</t>
  </si>
  <si>
    <t>спецхарчування</t>
  </si>
  <si>
    <t>страхування</t>
  </si>
  <si>
    <t>внески на регулювання</t>
  </si>
  <si>
    <t>повірка вимірювальної техніки</t>
  </si>
  <si>
    <t>медичний огляд</t>
  </si>
  <si>
    <t>послуги звязку, інтернет</t>
  </si>
  <si>
    <t>екологічні дослідження</t>
  </si>
  <si>
    <t>екологічний податок</t>
  </si>
  <si>
    <t>потдаток на землю, інші</t>
  </si>
  <si>
    <t>пільгова пенсія</t>
  </si>
  <si>
    <t>МБП, МНМА</t>
  </si>
  <si>
    <t>інші (миючі засоби, семінари, послуги стор.організацій)</t>
  </si>
  <si>
    <t>МБП</t>
  </si>
  <si>
    <t>витрати на інтернет</t>
  </si>
  <si>
    <t>поштові витрати</t>
  </si>
  <si>
    <t>експресс-пошта</t>
  </si>
  <si>
    <t>обслуговув.офісної техніки</t>
  </si>
  <si>
    <t>судовий збір</t>
  </si>
  <si>
    <t xml:space="preserve">господарчі та канцелярські витрати </t>
  </si>
  <si>
    <t xml:space="preserve">розрахунково-касове обслуговування </t>
  </si>
  <si>
    <t xml:space="preserve">обслуговування комп'ютерних програм </t>
  </si>
  <si>
    <t>комісія банку від купівлі валюти</t>
  </si>
  <si>
    <t>інші витрати(сировина, підписка,спецодяг, служб.проїзд)</t>
  </si>
  <si>
    <t>витрати на матер допомогу</t>
  </si>
  <si>
    <t>собівартість реалізованих виробничих запасів</t>
  </si>
  <si>
    <t>витрати на купівлю-продаж валюти</t>
  </si>
  <si>
    <t>визнані штрафи, пені, неустойки</t>
  </si>
  <si>
    <t>амортизація основних засобів і нематеріальних активів іншого операційного призначення</t>
  </si>
  <si>
    <t xml:space="preserve">встановлення, заміна, обслуговування вузлів комерційного обліку </t>
  </si>
  <si>
    <t>витрати на виробництво т/е для САО</t>
  </si>
  <si>
    <t>сировина та матеріали</t>
  </si>
  <si>
    <t>спецодяг, спецвзуття</t>
  </si>
  <si>
    <t>водопостачання, водовідведення</t>
  </si>
  <si>
    <t>обслуговування багатоквартирних будинків (техн обслугов внутріш.будинк.систем)</t>
  </si>
  <si>
    <t>медогляд</t>
  </si>
  <si>
    <t>відсотки за користування кредитами</t>
  </si>
  <si>
    <t>1150/1</t>
  </si>
  <si>
    <t>1150/2</t>
  </si>
  <si>
    <t>відсотки по лізингу</t>
  </si>
  <si>
    <t>витрати від курсової різниці</t>
  </si>
  <si>
    <t>списання необоротних активів</t>
  </si>
  <si>
    <t>амортизація</t>
  </si>
  <si>
    <t>відрахування профспілці</t>
  </si>
  <si>
    <t>благодійна допомога</t>
  </si>
  <si>
    <t>господарчі витрати</t>
  </si>
  <si>
    <t>матеріальна допомога</t>
  </si>
  <si>
    <t>інші</t>
  </si>
  <si>
    <t>Факт минулого 2020 року</t>
  </si>
  <si>
    <t>Фінансовий план поточного 2021 року</t>
  </si>
  <si>
    <t>Прогноз на поточний 2021 рік</t>
  </si>
  <si>
    <t>Директор</t>
  </si>
  <si>
    <t>П.М.Карась</t>
  </si>
  <si>
    <t>транспортування теплової енергії мережами інших власників</t>
  </si>
  <si>
    <t>1018/1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</si>
  <si>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</si>
  <si>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</si>
  <si>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</si>
  <si>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</si>
  <si>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</si>
  <si>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</si>
  <si>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</si>
  <si>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</si>
  <si>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</si>
  <si>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</si>
  <si>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</si>
  <si>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</si>
  <si>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</si>
  <si>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</si>
  <si>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</si>
  <si>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</si>
  <si>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</si>
  <si>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1018/19</t>
  </si>
  <si>
    <t>компенсація втрат т/е  інших власників мережами підприє-ва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</si>
  <si>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</si>
  <si>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</si>
  <si>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</si>
  <si>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</si>
  <si>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</si>
  <si>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</si>
  <si>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</si>
  <si>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</si>
  <si>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</si>
  <si>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</si>
  <si>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</si>
  <si>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інші витрати:</t>
  </si>
  <si>
    <t>інші адміністративні витрати:</t>
  </si>
  <si>
    <t>дохід від неопераційної курсової різниці</t>
  </si>
  <si>
    <t>дохід від безоплатно одержаних активів</t>
  </si>
  <si>
    <t>1073/2</t>
  </si>
  <si>
    <t>1073/3</t>
  </si>
  <si>
    <t>1073/4</t>
  </si>
  <si>
    <t>1073/5</t>
  </si>
  <si>
    <t>1073/6</t>
  </si>
  <si>
    <t>1073/7</t>
  </si>
  <si>
    <t>1073/8</t>
  </si>
  <si>
    <t>1073/9</t>
  </si>
  <si>
    <t>1073/10</t>
  </si>
  <si>
    <t>1073/11</t>
  </si>
  <si>
    <t>1073/12</t>
  </si>
  <si>
    <t>1073/13</t>
  </si>
  <si>
    <t>1073/14</t>
  </si>
  <si>
    <t>дохід від реалізації оборотних активів</t>
  </si>
  <si>
    <t>дохід від продажу електроенергії</t>
  </si>
  <si>
    <t>дохід від операційної оренди активів</t>
  </si>
  <si>
    <t>одержані штрафи, пені, неустойки</t>
  </si>
  <si>
    <t>роботи, послуги</t>
  </si>
  <si>
    <t xml:space="preserve">відшкодування вартості електроенергії </t>
  </si>
  <si>
    <t xml:space="preserve">техобслуговування підкачуючих насосів </t>
  </si>
  <si>
    <t>внески на встановлення, заміну,  обслуговування вузлів комерційного обліку т/е</t>
  </si>
  <si>
    <t>обслуговування багатоквартирних будинків</t>
  </si>
  <si>
    <t>дохід від надання послуг ЦО та ГВП</t>
  </si>
  <si>
    <t>дохід від обслуговування ІТП</t>
  </si>
  <si>
    <t xml:space="preserve">інші операційні доходи </t>
  </si>
  <si>
    <t xml:space="preserve">нетипові операційні доходи </t>
  </si>
  <si>
    <t>1073/15</t>
  </si>
  <si>
    <t>1073/16</t>
  </si>
  <si>
    <t>курсові різниці (операційні)</t>
  </si>
  <si>
    <t xml:space="preserve">інші </t>
  </si>
  <si>
    <t>повірка вимірювальної техніки (на сторону)</t>
  </si>
  <si>
    <t>інші операційні витрати:</t>
  </si>
  <si>
    <t>1086/1</t>
  </si>
  <si>
    <t>1086/2</t>
  </si>
  <si>
    <t>1086/3</t>
  </si>
  <si>
    <t>1086/4</t>
  </si>
  <si>
    <t>1086/5</t>
  </si>
  <si>
    <t>1086/6</t>
  </si>
  <si>
    <t>1086/7</t>
  </si>
  <si>
    <t>1086/8</t>
  </si>
  <si>
    <t>1086/9</t>
  </si>
  <si>
    <t>1086/10</t>
  </si>
  <si>
    <t>1086/11</t>
  </si>
  <si>
    <t>1086/12</t>
  </si>
  <si>
    <t>1086/13</t>
  </si>
  <si>
    <t>1086/14</t>
  </si>
  <si>
    <t>1086/15</t>
  </si>
  <si>
    <t>1086/16</t>
  </si>
  <si>
    <t>1086/17</t>
  </si>
  <si>
    <t>1086/18</t>
  </si>
  <si>
    <t>1140/1</t>
  </si>
  <si>
    <t>1140/2</t>
  </si>
  <si>
    <t>1140/3</t>
  </si>
  <si>
    <t>відсотки одержані</t>
  </si>
  <si>
    <t>1160/3</t>
  </si>
  <si>
    <t>1160/4</t>
  </si>
  <si>
    <t>1160/5</t>
  </si>
  <si>
    <t>1160/6</t>
  </si>
  <si>
    <t>1160/7</t>
  </si>
  <si>
    <t>1160/8</t>
  </si>
  <si>
    <t>1160/9</t>
  </si>
  <si>
    <t>1160/10</t>
  </si>
  <si>
    <t xml:space="preserve">дохід від безоплатно одерданих  оборотних активів </t>
  </si>
  <si>
    <t xml:space="preserve">          електроенергія спожита на власні</t>
  </si>
  <si>
    <t xml:space="preserve">          виробництво електроенергії для продажу</t>
  </si>
  <si>
    <t xml:space="preserve">      витрати на поліпшення основних фондів</t>
  </si>
  <si>
    <t>ФІНАНСОВИЙ ПЛАН КОМУНАЛЬНОГО ПІДПРИЄМСТВА ТЕПЛОВИХ МЕРЕЖ</t>
  </si>
  <si>
    <t>ЧЕРКАСИТЕПЛОКОМУНЕНЕРГО ЧЕРКАСЬКОЇ МІСЬКОЇ РАДИ</t>
  </si>
  <si>
    <t>НА 2022 рік</t>
  </si>
  <si>
    <r>
      <rPr>
        <b/>
        <sz val="15"/>
        <rFont val="Times New Roman"/>
        <family val="1"/>
        <charset val="204"/>
      </rPr>
      <t>Рентабельність діяльності</t>
    </r>
    <r>
      <rPr>
        <sz val="15"/>
        <rFont val="Times New Roman"/>
        <family val="1"/>
        <charset val="204"/>
      </rPr>
      <t xml:space="preserve">
(чистий фінансовий результат, рядок 1200 / чистий дохід від реалізації продукції (товарів, робіт, послуг), рядок 1000) х 100, %</t>
    </r>
  </si>
  <si>
    <r>
      <t xml:space="preserve">Рентабельність власного капіталу
</t>
    </r>
    <r>
      <rPr>
        <sz val="15"/>
        <rFont val="Times New Roman"/>
        <family val="1"/>
        <charset val="204"/>
      </rPr>
      <t>(чистий фінансовий результат, рядок 1200 / власний капітал, рядок 6080) х 100, %</t>
    </r>
  </si>
  <si>
    <r>
      <t xml:space="preserve">Коефіцієнт фінансової стійкості
</t>
    </r>
    <r>
      <rPr>
        <sz val="15"/>
        <rFont val="Times New Roman"/>
        <family val="1"/>
        <charset val="204"/>
      </rPr>
      <t>(власний капітал, рядок 6080 / (довгострокові зобов'язання, рядок 6030 + поточні зобов'язання, рядок 6040))</t>
    </r>
  </si>
  <si>
    <r>
      <t xml:space="preserve">Коефіцієнт зносу основних засобів
</t>
    </r>
    <r>
      <rPr>
        <sz val="15"/>
        <rFont val="Times New Roman"/>
        <family val="1"/>
        <charset val="204"/>
      </rPr>
      <t>(сума зносу, рядок 6003 / первісна вартість основних засобів, рядок 6002)</t>
    </r>
  </si>
  <si>
    <r>
      <t>Середня кількість працівників</t>
    </r>
    <r>
      <rPr>
        <sz val="15"/>
        <rFont val="Times New Roman"/>
        <family val="1"/>
        <charset val="204"/>
      </rPr>
      <t> (штатних працівників, зовнішніх сумісників та працівників, які працюють за цивільно-правовими договорами), </t>
    </r>
    <r>
      <rPr>
        <b/>
        <sz val="15"/>
        <rFont val="Times New Roman"/>
        <family val="1"/>
        <charset val="204"/>
      </rPr>
      <t>у тому числі:</t>
    </r>
  </si>
  <si>
    <r>
      <t xml:space="preserve">Прогноз на поточний </t>
    </r>
    <r>
      <rPr>
        <b/>
        <sz val="15"/>
        <rFont val="Times New Roman"/>
        <family val="1"/>
        <charset val="204"/>
      </rPr>
      <t>2021</t>
    </r>
    <r>
      <rPr>
        <sz val="15"/>
        <rFont val="Times New Roman"/>
        <family val="1"/>
        <charset val="204"/>
      </rPr>
      <t xml:space="preserve"> рік</t>
    </r>
  </si>
  <si>
    <r>
      <t xml:space="preserve">Факт минулого </t>
    </r>
    <r>
      <rPr>
        <b/>
        <sz val="15"/>
        <rFont val="Times New Roman"/>
        <family val="1"/>
        <charset val="204"/>
      </rPr>
      <t>2020</t>
    </r>
    <r>
      <rPr>
        <sz val="15"/>
        <rFont val="Times New Roman"/>
        <family val="1"/>
        <charset val="204"/>
      </rPr>
      <t xml:space="preserve"> року</t>
    </r>
  </si>
  <si>
    <t xml:space="preserve">модернізація, модифікація (добудова, дообладнання, реконструкція) </t>
  </si>
  <si>
    <t xml:space="preserve">придбання (виготовлення) основних засобів </t>
  </si>
  <si>
    <t xml:space="preserve">     придбання обладнання для підтримання технологічного процесу</t>
  </si>
  <si>
    <t xml:space="preserve">    лізингові платежі, придбання транспортних засобів</t>
  </si>
  <si>
    <r>
      <t>Плановий</t>
    </r>
    <r>
      <rPr>
        <b/>
        <sz val="14"/>
        <color rgb="FF0000CC"/>
        <rFont val="Times New Roman"/>
        <family val="1"/>
        <charset val="204"/>
      </rPr>
      <t xml:space="preserve"> 2022 рік</t>
    </r>
    <r>
      <rPr>
        <sz val="14"/>
        <color rgb="FF0000CC"/>
        <rFont val="Times New Roman"/>
        <family val="1"/>
        <charset val="204"/>
      </rPr>
      <t xml:space="preserve"> </t>
    </r>
  </si>
  <si>
    <t>решта власні</t>
  </si>
  <si>
    <t>ЧМР</t>
  </si>
  <si>
    <t>податки інші</t>
  </si>
  <si>
    <t xml:space="preserve">від відсотків за залишками коштів на поточних рахунках </t>
  </si>
  <si>
    <t>від боржників неустойки (штрафи, пені)</t>
  </si>
  <si>
    <t>від операційної оренди</t>
  </si>
  <si>
    <t>3070/1</t>
  </si>
  <si>
    <t>3070/2</t>
  </si>
  <si>
    <t>3070/3</t>
  </si>
  <si>
    <t>3070/4</t>
  </si>
  <si>
    <t>військовий збір</t>
  </si>
  <si>
    <t>інші платежі (розшифрувати)- повернення авансів</t>
  </si>
  <si>
    <t>Інші надходження (розшифрувати) - асигнування з міського бюджету</t>
  </si>
  <si>
    <t>Інші надходження (розшифрувати) з міського бюджету</t>
  </si>
  <si>
    <t>Інші платежі - повернення по гарантійним зобов'язанням</t>
  </si>
  <si>
    <t xml:space="preserve">заходи інвестиційної програми </t>
  </si>
  <si>
    <t>ремонт теплових мереж, котелень, ЦТП</t>
  </si>
  <si>
    <t xml:space="preserve">         рем</t>
  </si>
  <si>
    <t>асигнув 6875,9 + інвестпрогр 20386,7*1,2 + факт 6 міс 869+ план 6 міс 900</t>
  </si>
  <si>
    <t xml:space="preserve"> інвестпр</t>
  </si>
  <si>
    <t>лізинг</t>
  </si>
  <si>
    <t>необорот</t>
  </si>
  <si>
    <t>кап рем</t>
  </si>
  <si>
    <t>в т.ч          ОЗ</t>
  </si>
  <si>
    <t xml:space="preserve"> факт 6 міс 490,8 + план  500</t>
  </si>
  <si>
    <t xml:space="preserve">  асигнув (900+2100+2000+259) + факт 6 міс 5354+ очік 6 міс 2000+ лізинг 8794 ( в т.ч.5 млн ЧМР)</t>
  </si>
  <si>
    <t xml:space="preserve"> асигнув (430,656+87,6036) + факт 6 міс 1600 + план 1500</t>
  </si>
  <si>
    <t xml:space="preserve"> ремонт теплових мереж, котелень, ЦТП</t>
  </si>
  <si>
    <t>асигнування з міського бюджету на капітальний ремонт безгосподарчих мереж та реконструкцію теплових мереж</t>
  </si>
  <si>
    <t xml:space="preserve">інші витрати на абонентське обслуговування </t>
  </si>
  <si>
    <t>Заборгованість за кредитами на кінець 2022</t>
  </si>
  <si>
    <t>у тому числі: по кредиту ЄБРР</t>
  </si>
  <si>
    <t>тис.грн.</t>
  </si>
  <si>
    <t>у тому числі лізинг:</t>
  </si>
  <si>
    <t>Фактичний показник за 2020 минулий рік</t>
  </si>
  <si>
    <t>Плановий показник поточного 2021 року</t>
  </si>
  <si>
    <t>Плановий 2022 рік</t>
  </si>
  <si>
    <t>Дохід від реалізації готової продукції, тепло</t>
  </si>
  <si>
    <t>Дохід від транспортування тепла Черкаської ТЕЦ (з компенсацією втрат)</t>
  </si>
  <si>
    <t>КПТМ "Черкаситеплокомуненерго"</t>
  </si>
  <si>
    <t>виробництво, транспортування, постачання теплової енергії</t>
  </si>
  <si>
    <t xml:space="preserve">  капітальний ремонт безгосподарчих теплових мереж з прийнятям їх на баланс підприємства (внески в статутний капітал)</t>
  </si>
  <si>
    <t>2.1.</t>
  </si>
  <si>
    <t>2.2.</t>
  </si>
  <si>
    <t>2.3.</t>
  </si>
  <si>
    <t>5.1.</t>
  </si>
  <si>
    <t>5.2.</t>
  </si>
  <si>
    <t>6.1.</t>
  </si>
  <si>
    <t>Заборгованість за кредитами на початок 2022</t>
  </si>
  <si>
    <t>кредити (ЄБРР + кредитна лінія)</t>
  </si>
  <si>
    <t>інші фінансові зобов'язання (лізинг)</t>
  </si>
  <si>
    <t>Реконструкція котельні по вул. Хрещатик, 84 в м. Черкаси
(виконання БМР та введення  в експлуатацію)</t>
  </si>
  <si>
    <t>Технічне переоснащення котла №3 котельні по вул. О.Дашковича, 62 в м. Черкаси (виконання БМР та введення  в експлуатацію)</t>
  </si>
  <si>
    <t>Розробка проектно-кошторисної документації по заходу "Реконструкція котельні по вул. Надпільна, 220 в м. Черкаси"</t>
  </si>
  <si>
    <t>Реконструкція котельні по вул. Надпільна, 220 в м. Черкаси
(закупівля котлів в комплекті з економайзерами та пальниками)</t>
  </si>
  <si>
    <t>Реконструкція теплової мережі від ТК-1-8-0 до ТК-1-11 по вул. О.Дашковича в м.Черкаси</t>
  </si>
  <si>
    <t>Реконструкція котельні по вул. Надпільна, 220 в м. Черкаси
(в частині заміни насосів та обладнання ХВО)</t>
  </si>
  <si>
    <t xml:space="preserve"> інвестиційна програма, в т.ч.:</t>
  </si>
  <si>
    <t>плата за абон. Обслуговування</t>
  </si>
  <si>
    <t>дохід від постачання т/е САО</t>
  </si>
  <si>
    <t xml:space="preserve">кредитна лінія </t>
  </si>
  <si>
    <t>Фактичний показник поточного року за останній звітний періо (6 міс.2021)</t>
  </si>
  <si>
    <t xml:space="preserve">у тому числі: кредитна лінія </t>
  </si>
  <si>
    <t xml:space="preserve">     придбання обладнання та техніки для комунальних підприємств   (внески в статутний капітал) </t>
  </si>
  <si>
    <t>5.1.1.</t>
  </si>
  <si>
    <t>5.1.2.</t>
  </si>
  <si>
    <t>5.1.3.</t>
  </si>
  <si>
    <t>5.1.4.</t>
  </si>
  <si>
    <t>5.1.5.</t>
  </si>
  <si>
    <t>5.1.6.</t>
  </si>
  <si>
    <t>Інші витрачання (погашення заборгованості перед НАК Нафтогаз за минулі періоди)</t>
  </si>
  <si>
    <t>бюджетне фінансування (з міського бюджету на відшкодування податку на прибуток, який виникне в результаті надходження коштів з держбюджету на різницю в тарифах)</t>
  </si>
  <si>
    <t>бюджетне фінансування (з держбюджету на погашення заборгованості перед НАК Нафтогаз та різниця в тарифах)</t>
  </si>
  <si>
    <t>5.1.7.</t>
  </si>
  <si>
    <t>5.1.8</t>
  </si>
  <si>
    <t>Встановлення вузлів комерційного обліку теплової енергії з врахування капітального ремонту теплових мереж (бюджетні установи, перелік додається)</t>
  </si>
  <si>
    <t>Встановлення вузлів комерційного обліку теплової енергії для населення</t>
  </si>
  <si>
    <t>розрахунок ПДВ</t>
  </si>
  <si>
    <r>
      <t xml:space="preserve">Плановий </t>
    </r>
    <r>
      <rPr>
        <b/>
        <sz val="15"/>
        <rFont val="Times New Roman"/>
        <family val="1"/>
        <charset val="204"/>
      </rPr>
      <t>2022</t>
    </r>
    <r>
      <rPr>
        <sz val="15"/>
        <rFont val="Times New Roman"/>
        <family val="1"/>
        <charset val="204"/>
      </rPr>
      <t xml:space="preserve"> рік</t>
    </r>
  </si>
  <si>
    <r>
      <rPr>
        <b/>
        <sz val="15"/>
        <rFont val="Times New Roman"/>
        <family val="1"/>
        <charset val="204"/>
      </rPr>
      <t xml:space="preserve">Рентабельність активів              </t>
    </r>
    <r>
      <rPr>
        <sz val="15"/>
        <rFont val="Times New Roman"/>
        <family val="1"/>
        <charset val="204"/>
      </rPr>
      <t xml:space="preserve">                                           (чистий фінансовий результат, рядок 1200 / вартість активів, рядок 6020) х 100, %</t>
    </r>
  </si>
  <si>
    <r>
      <t>Плановий</t>
    </r>
    <r>
      <rPr>
        <b/>
        <sz val="14"/>
        <rFont val="Times New Roman"/>
        <family val="1"/>
        <charset val="204"/>
      </rPr>
      <t xml:space="preserve"> 2022 рік</t>
    </r>
    <r>
      <rPr>
        <sz val="14"/>
        <rFont val="Times New Roman"/>
        <family val="1"/>
        <charset val="204"/>
      </rPr>
      <t xml:space="preserve"> (усього)</t>
    </r>
  </si>
  <si>
    <t>Витрачення на сплату заборгованості з фінансової оренди (лізинг)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</si>
</sst>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_-* #,##0.0_₴_-;\-* #,##0.0_₴_-;_-* &quot;-&quot;??_₴_-;_-@_-"/>
    <numFmt numFmtId="179" formatCode="#,##0.0000"/>
    <numFmt numFmtId="180" formatCode="0.0000"/>
    <numFmt numFmtId="181" formatCode="#,##0.000"/>
    <numFmt numFmtId="182" formatCode="0.0%"/>
    <numFmt numFmtId="183" formatCode="_-* #,##0_₴_-;\-* #,##0_₴_-;_-* &quot;-&quot;??_₴_-;_-@_-"/>
    <numFmt numFmtId="184" formatCode="#,##0_ ;\-#,##0\ "/>
    <numFmt numFmtId="185" formatCode="_-* #,##0.0\ _₽_-;\-* #,##0.0\ _₽_-;_-* &quot;-&quot;?\ _₽_-;_-@_-"/>
    <numFmt numFmtId="186" formatCode="#,##0.0_ ;\-#,##0.0\ "/>
    <numFmt numFmtId="187" formatCode="_-* #,##0\ _₽_-;\-* #,##0\ _₽_-;_-* &quot;-&quot;?\ _₽_-;_-@_-"/>
  </numFmts>
  <fonts count="9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4"/>
      <color rgb="FF0000CC"/>
      <name val="Times New Roman"/>
      <family val="1"/>
      <charset val="204"/>
    </font>
    <font>
      <sz val="14"/>
      <color rgb="FF0000CC"/>
      <name val="Times New Roman"/>
      <family val="1"/>
      <charset val="204"/>
    </font>
    <font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i/>
      <sz val="15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 Cyr"/>
      <charset val="204"/>
    </font>
    <font>
      <b/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Arial Cyr"/>
      <charset val="204"/>
    </font>
    <font>
      <i/>
      <sz val="14"/>
      <name val="Arial Cyr"/>
      <charset val="204"/>
    </font>
    <font>
      <b/>
      <i/>
      <sz val="14"/>
      <name val="Arial Cyr"/>
      <charset val="204"/>
    </font>
    <font>
      <b/>
      <i/>
      <sz val="1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8989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7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8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2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73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7" fontId="66" fillId="22" borderId="12" applyFill="0" applyBorder="0">
      <alignment horizontal="center" vertical="center" wrapText="1"/>
      <protection locked="0"/>
    </xf>
    <xf numFmtId="172" fontId="67" fillId="0" borderId="0">
      <alignment wrapText="1"/>
    </xf>
    <xf numFmtId="172" fontId="34" fillId="0" borderId="0">
      <alignment wrapText="1"/>
    </xf>
    <xf numFmtId="9" fontId="2" fillId="0" borderId="0" applyFont="0" applyFill="0" applyBorder="0" applyAlignment="0" applyProtection="0"/>
  </cellStyleXfs>
  <cellXfs count="51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1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247" applyFont="1" applyFill="1" applyBorder="1" applyAlignment="1">
      <alignment horizontal="center" vertical="center" wrapText="1"/>
    </xf>
    <xf numFmtId="0" fontId="5" fillId="0" borderId="0" xfId="247" applyFont="1" applyFill="1" applyBorder="1" applyAlignment="1">
      <alignment vertical="center"/>
    </xf>
    <xf numFmtId="0" fontId="5" fillId="0" borderId="3" xfId="247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vertical="center"/>
    </xf>
    <xf numFmtId="0" fontId="5" fillId="0" borderId="0" xfId="24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7" applyFont="1" applyFill="1" applyBorder="1" applyAlignment="1">
      <alignment horizontal="left" vertical="center" wrapText="1"/>
    </xf>
    <xf numFmtId="0" fontId="13" fillId="0" borderId="0" xfId="247" applyFont="1" applyFill="1"/>
    <xf numFmtId="0" fontId="5" fillId="0" borderId="0" xfId="247" applyFont="1" applyFill="1" applyBorder="1" applyAlignment="1">
      <alignment vertical="center" wrapText="1"/>
    </xf>
    <xf numFmtId="171" fontId="4" fillId="0" borderId="0" xfId="0" quotePrefix="1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247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left" vertical="center" wrapText="1"/>
    </xf>
    <xf numFmtId="0" fontId="4" fillId="30" borderId="3" xfId="0" quotePrefix="1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71" fontId="4" fillId="30" borderId="3" xfId="0" quotePrefix="1" applyNumberFormat="1" applyFont="1" applyFill="1" applyBorder="1" applyAlignment="1">
      <alignment horizontal="center" vertical="center" wrapText="1"/>
    </xf>
    <xf numFmtId="171" fontId="4" fillId="0" borderId="3" xfId="247" applyNumberFormat="1" applyFont="1" applyFill="1" applyBorder="1" applyAlignment="1">
      <alignment horizontal="center" vertical="center" wrapText="1"/>
    </xf>
    <xf numFmtId="171" fontId="4" fillId="0" borderId="3" xfId="0" quotePrefix="1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171" fontId="5" fillId="0" borderId="3" xfId="247" applyNumberFormat="1" applyFont="1" applyFill="1" applyBorder="1" applyAlignment="1">
      <alignment horizontal="center" vertical="center" wrapText="1"/>
    </xf>
    <xf numFmtId="171" fontId="5" fillId="0" borderId="3" xfId="247" quotePrefix="1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left" vertical="center" wrapText="1"/>
    </xf>
    <xf numFmtId="171" fontId="4" fillId="32" borderId="3" xfId="0" quotePrefix="1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 wrapText="1"/>
    </xf>
    <xf numFmtId="171" fontId="4" fillId="32" borderId="14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171" fontId="4" fillId="32" borderId="15" xfId="0" applyNumberFormat="1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 shrinkToFit="1"/>
    </xf>
    <xf numFmtId="0" fontId="5" fillId="29" borderId="0" xfId="247" applyFont="1" applyFill="1" applyBorder="1" applyAlignment="1">
      <alignment vertical="center"/>
    </xf>
    <xf numFmtId="0" fontId="5" fillId="31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0" fontId="69" fillId="31" borderId="3" xfId="0" applyFont="1" applyFill="1" applyBorder="1" applyAlignment="1">
      <alignment horizontal="center" vertical="center" wrapText="1"/>
    </xf>
    <xf numFmtId="0" fontId="69" fillId="31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3" xfId="239" applyNumberFormat="1" applyFont="1" applyFill="1" applyBorder="1" applyAlignment="1">
      <alignment horizontal="left" vertical="center" wrapText="1"/>
    </xf>
    <xf numFmtId="0" fontId="5" fillId="0" borderId="3" xfId="239" applyNumberFormat="1" applyFont="1" applyFill="1" applyBorder="1" applyAlignment="1">
      <alignment horizontal="center" vertical="center" wrapText="1"/>
    </xf>
    <xf numFmtId="0" fontId="5" fillId="0" borderId="3" xfId="239" applyNumberFormat="1" applyFont="1" applyFill="1" applyBorder="1" applyAlignment="1">
      <alignment horizontal="left" vertical="center" wrapText="1"/>
    </xf>
    <xf numFmtId="0" fontId="5" fillId="0" borderId="3" xfId="239" applyFont="1" applyFill="1" applyBorder="1" applyAlignment="1">
      <alignment horizontal="center" vertical="center"/>
    </xf>
    <xf numFmtId="49" fontId="5" fillId="0" borderId="3" xfId="239" applyNumberFormat="1" applyFont="1" applyFill="1" applyBorder="1" applyAlignment="1">
      <alignment horizontal="center" vertical="center" wrapText="1"/>
    </xf>
    <xf numFmtId="179" fontId="5" fillId="0" borderId="3" xfId="239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6" borderId="3" xfId="0" applyFont="1" applyFill="1" applyBorder="1" applyAlignment="1">
      <alignment horizontal="left" vertical="center" wrapText="1"/>
    </xf>
    <xf numFmtId="171" fontId="4" fillId="36" borderId="3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vertical="center" wrapText="1"/>
    </xf>
    <xf numFmtId="171" fontId="4" fillId="36" borderId="15" xfId="0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left" vertical="center" wrapText="1"/>
    </xf>
    <xf numFmtId="171" fontId="5" fillId="33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1" fillId="36" borderId="3" xfId="0" quotePrefix="1" applyFont="1" applyFill="1" applyBorder="1" applyAlignment="1">
      <alignment horizontal="center" vertical="center"/>
    </xf>
    <xf numFmtId="0" fontId="71" fillId="32" borderId="3" xfId="0" quotePrefix="1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center" vertical="center"/>
    </xf>
    <xf numFmtId="0" fontId="71" fillId="32" borderId="14" xfId="0" quotePrefix="1" applyFont="1" applyFill="1" applyBorder="1" applyAlignment="1">
      <alignment horizontal="center" vertical="center"/>
    </xf>
    <xf numFmtId="0" fontId="9" fillId="31" borderId="3" xfId="0" applyFont="1" applyFill="1" applyBorder="1" applyAlignment="1">
      <alignment horizontal="center" vertical="center" wrapText="1"/>
    </xf>
    <xf numFmtId="0" fontId="71" fillId="32" borderId="15" xfId="0" quotePrefix="1" applyFont="1" applyFill="1" applyBorder="1" applyAlignment="1">
      <alignment horizontal="center" vertical="center"/>
    </xf>
    <xf numFmtId="0" fontId="9" fillId="0" borderId="15" xfId="0" quotePrefix="1" applyFont="1" applyFill="1" applyBorder="1" applyAlignment="1">
      <alignment horizontal="center" vertical="center"/>
    </xf>
    <xf numFmtId="0" fontId="71" fillId="36" borderId="3" xfId="0" applyFont="1" applyFill="1" applyBorder="1" applyAlignment="1">
      <alignment horizontal="center" vertical="center" wrapText="1"/>
    </xf>
    <xf numFmtId="0" fontId="71" fillId="32" borderId="17" xfId="0" quotePrefix="1" applyFont="1" applyFill="1" applyBorder="1" applyAlignment="1">
      <alignment horizontal="center" vertical="center"/>
    </xf>
    <xf numFmtId="0" fontId="71" fillId="36" borderId="15" xfId="0" applyFont="1" applyFill="1" applyBorder="1" applyAlignment="1">
      <alignment horizontal="center" vertical="center"/>
    </xf>
    <xf numFmtId="0" fontId="71" fillId="0" borderId="3" xfId="0" quotePrefix="1" applyFont="1" applyFill="1" applyBorder="1" applyAlignment="1">
      <alignment horizontal="center" vertical="center"/>
    </xf>
    <xf numFmtId="0" fontId="9" fillId="33" borderId="3" xfId="0" quotePrefix="1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center" vertical="center" wrapText="1"/>
    </xf>
    <xf numFmtId="0" fontId="71" fillId="0" borderId="3" xfId="0" quotePrefix="1" applyFont="1" applyFill="1" applyBorder="1" applyAlignment="1">
      <alignment horizontal="center" vertical="center" wrapText="1"/>
    </xf>
    <xf numFmtId="0" fontId="71" fillId="0" borderId="0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6" fillId="31" borderId="3" xfId="0" applyFont="1" applyFill="1" applyBorder="1" applyAlignment="1">
      <alignment horizontal="center" vertical="center" wrapText="1"/>
    </xf>
    <xf numFmtId="0" fontId="71" fillId="31" borderId="3" xfId="0" applyFont="1" applyFill="1" applyBorder="1" applyAlignment="1">
      <alignment horizontal="center" vertical="center" wrapText="1"/>
    </xf>
    <xf numFmtId="178" fontId="4" fillId="31" borderId="3" xfId="325" applyNumberFormat="1" applyFont="1" applyFill="1" applyBorder="1" applyAlignment="1">
      <alignment horizontal="center"/>
    </xf>
    <xf numFmtId="178" fontId="5" fillId="31" borderId="3" xfId="325" applyNumberFormat="1" applyFont="1" applyFill="1" applyBorder="1" applyAlignment="1">
      <alignment horizontal="center"/>
    </xf>
    <xf numFmtId="178" fontId="4" fillId="32" borderId="17" xfId="32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31" borderId="15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left" vertical="center" wrapText="1" indent="1"/>
    </xf>
    <xf numFmtId="183" fontId="5" fillId="33" borderId="0" xfId="325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9" fillId="31" borderId="15" xfId="0" applyFont="1" applyFill="1" applyBorder="1" applyAlignment="1">
      <alignment horizontal="center" vertical="center" wrapText="1"/>
    </xf>
    <xf numFmtId="170" fontId="5" fillId="31" borderId="1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 indent="2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 shrinkToFit="1"/>
    </xf>
    <xf numFmtId="0" fontId="77" fillId="0" borderId="3" xfId="182" applyFont="1" applyFill="1" applyBorder="1" applyAlignment="1">
      <alignment vertical="center" wrapText="1"/>
      <protection locked="0"/>
    </xf>
    <xf numFmtId="171" fontId="77" fillId="0" borderId="3" xfId="0" applyNumberFormat="1" applyFont="1" applyFill="1" applyBorder="1" applyAlignment="1">
      <alignment horizontal="center" vertical="center" wrapText="1"/>
    </xf>
    <xf numFmtId="0" fontId="78" fillId="0" borderId="3" xfId="182" applyFont="1" applyFill="1" applyBorder="1" applyAlignment="1">
      <alignment vertical="center" wrapText="1"/>
      <protection locked="0"/>
    </xf>
    <xf numFmtId="171" fontId="78" fillId="0" borderId="3" xfId="0" applyNumberFormat="1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vertical="center" wrapText="1"/>
    </xf>
    <xf numFmtId="171" fontId="78" fillId="0" borderId="14" xfId="0" applyNumberFormat="1" applyFont="1" applyFill="1" applyBorder="1" applyAlignment="1">
      <alignment horizontal="center" vertical="center" wrapText="1"/>
    </xf>
    <xf numFmtId="0" fontId="77" fillId="0" borderId="3" xfId="247" applyFont="1" applyFill="1" applyBorder="1" applyAlignment="1">
      <alignment horizontal="left" vertical="center" wrapText="1"/>
    </xf>
    <xf numFmtId="171" fontId="77" fillId="0" borderId="14" xfId="0" applyNumberFormat="1" applyFont="1" applyFill="1" applyBorder="1" applyAlignment="1">
      <alignment horizontal="center" vertical="center" wrapText="1"/>
    </xf>
    <xf numFmtId="0" fontId="77" fillId="0" borderId="3" xfId="0" applyFont="1" applyFill="1" applyBorder="1" applyAlignment="1" applyProtection="1">
      <alignment horizontal="left" vertical="center" wrapText="1"/>
      <protection locked="0"/>
    </xf>
    <xf numFmtId="171" fontId="77" fillId="0" borderId="15" xfId="0" applyNumberFormat="1" applyFont="1" applyFill="1" applyBorder="1" applyAlignment="1">
      <alignment horizontal="center" vertical="center" wrapText="1"/>
    </xf>
    <xf numFmtId="0" fontId="78" fillId="0" borderId="3" xfId="0" applyFont="1" applyFill="1" applyBorder="1" applyAlignment="1" applyProtection="1">
      <alignment horizontal="left" vertical="center" wrapText="1"/>
      <protection locked="0"/>
    </xf>
    <xf numFmtId="0" fontId="78" fillId="0" borderId="0" xfId="0" applyFont="1" applyFill="1" applyBorder="1" applyAlignment="1">
      <alignment vertical="center"/>
    </xf>
    <xf numFmtId="0" fontId="77" fillId="0" borderId="3" xfId="0" applyFont="1" applyFill="1" applyBorder="1" applyAlignment="1" applyProtection="1">
      <alignment horizontal="left" wrapText="1"/>
      <protection locked="0"/>
    </xf>
    <xf numFmtId="0" fontId="77" fillId="0" borderId="3" xfId="0" applyFont="1" applyFill="1" applyBorder="1" applyAlignment="1" applyProtection="1">
      <alignment horizontal="center" vertical="center"/>
      <protection locked="0"/>
    </xf>
    <xf numFmtId="180" fontId="77" fillId="0" borderId="3" xfId="0" applyNumberFormat="1" applyFont="1" applyFill="1" applyBorder="1" applyAlignment="1" applyProtection="1">
      <alignment horizontal="center" vertical="center"/>
      <protection locked="0"/>
    </xf>
    <xf numFmtId="180" fontId="77" fillId="0" borderId="3" xfId="0" applyNumberFormat="1" applyFont="1" applyFill="1" applyBorder="1" applyAlignment="1">
      <alignment horizontal="center"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0" fontId="78" fillId="0" borderId="3" xfId="0" applyFont="1" applyFill="1" applyBorder="1" applyAlignment="1" applyProtection="1">
      <alignment horizontal="left" wrapText="1"/>
      <protection locked="0"/>
    </xf>
    <xf numFmtId="180" fontId="77" fillId="0" borderId="3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31" borderId="3" xfId="0" applyFont="1" applyFill="1" applyBorder="1" applyAlignment="1">
      <alignment horizontal="left" vertical="center" wrapText="1"/>
    </xf>
    <xf numFmtId="0" fontId="77" fillId="31" borderId="3" xfId="0" applyFont="1" applyFill="1" applyBorder="1" applyAlignment="1">
      <alignment horizontal="center" vertical="center" wrapText="1"/>
    </xf>
    <xf numFmtId="0" fontId="78" fillId="31" borderId="22" xfId="0" applyFont="1" applyFill="1" applyBorder="1" applyAlignment="1">
      <alignment horizontal="left" vertical="center" wrapText="1"/>
    </xf>
    <xf numFmtId="0" fontId="77" fillId="31" borderId="14" xfId="0" applyFont="1" applyFill="1" applyBorder="1" applyAlignment="1">
      <alignment horizontal="center" vertical="center"/>
    </xf>
    <xf numFmtId="0" fontId="78" fillId="31" borderId="3" xfId="0" applyFont="1" applyFill="1" applyBorder="1" applyAlignment="1">
      <alignment horizontal="left" vertical="center" wrapText="1"/>
    </xf>
    <xf numFmtId="0" fontId="77" fillId="31" borderId="3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80" fillId="31" borderId="3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31" borderId="3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center"/>
    </xf>
    <xf numFmtId="0" fontId="8" fillId="31" borderId="3" xfId="0" applyFont="1" applyFill="1" applyBorder="1" applyAlignment="1">
      <alignment horizontal="center" vertical="center" wrapText="1"/>
    </xf>
    <xf numFmtId="0" fontId="81" fillId="31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33" borderId="0" xfId="247" applyFont="1" applyFill="1" applyBorder="1" applyAlignment="1">
      <alignment vertical="center"/>
    </xf>
    <xf numFmtId="0" fontId="4" fillId="33" borderId="0" xfId="247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4" fillId="33" borderId="3" xfId="0" applyFont="1" applyFill="1" applyBorder="1" applyAlignment="1">
      <alignment horizontal="left" vertical="center" wrapText="1"/>
    </xf>
    <xf numFmtId="0" fontId="4" fillId="33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 wrapText="1"/>
    </xf>
    <xf numFmtId="3" fontId="4" fillId="0" borderId="3" xfId="247" applyNumberFormat="1" applyFont="1" applyFill="1" applyBorder="1" applyAlignment="1">
      <alignment horizontal="center" vertical="center" wrapText="1"/>
    </xf>
    <xf numFmtId="178" fontId="4" fillId="0" borderId="3" xfId="325" applyNumberFormat="1" applyFont="1" applyFill="1" applyBorder="1" applyAlignment="1">
      <alignment horizontal="center" vertical="center" wrapText="1"/>
    </xf>
    <xf numFmtId="178" fontId="5" fillId="33" borderId="14" xfId="325" applyNumberFormat="1" applyFont="1" applyFill="1" applyBorder="1" applyAlignment="1"/>
    <xf numFmtId="178" fontId="4" fillId="33" borderId="3" xfId="325" applyNumberFormat="1" applyFont="1" applyFill="1" applyBorder="1" applyAlignment="1">
      <alignment horizontal="center" vertical="center" wrapText="1"/>
    </xf>
    <xf numFmtId="178" fontId="4" fillId="0" borderId="3" xfId="325" applyNumberFormat="1" applyFont="1" applyFill="1" applyBorder="1" applyAlignment="1">
      <alignment vertical="center" wrapText="1"/>
    </xf>
    <xf numFmtId="178" fontId="5" fillId="31" borderId="3" xfId="325" applyNumberFormat="1" applyFont="1" applyFill="1" applyBorder="1" applyAlignment="1">
      <alignment vertical="center" wrapText="1"/>
    </xf>
    <xf numFmtId="178" fontId="5" fillId="0" borderId="3" xfId="325" applyNumberFormat="1" applyFont="1" applyFill="1" applyBorder="1" applyAlignment="1">
      <alignment vertical="center" wrapText="1"/>
    </xf>
    <xf numFmtId="178" fontId="5" fillId="31" borderId="14" xfId="325" applyNumberFormat="1" applyFont="1" applyFill="1" applyBorder="1" applyAlignment="1"/>
    <xf numFmtId="178" fontId="5" fillId="33" borderId="3" xfId="325" applyNumberFormat="1" applyFont="1" applyFill="1" applyBorder="1" applyAlignment="1">
      <alignment vertical="center" wrapText="1"/>
    </xf>
    <xf numFmtId="178" fontId="5" fillId="31" borderId="3" xfId="325" applyNumberFormat="1" applyFont="1" applyFill="1" applyBorder="1" applyAlignment="1"/>
    <xf numFmtId="0" fontId="4" fillId="33" borderId="3" xfId="247" applyFont="1" applyFill="1" applyBorder="1" applyAlignment="1">
      <alignment vertical="center"/>
    </xf>
    <xf numFmtId="0" fontId="6" fillId="31" borderId="14" xfId="0" applyFont="1" applyFill="1" applyBorder="1" applyAlignment="1">
      <alignment horizontal="left" vertical="center" wrapText="1" indent="2"/>
    </xf>
    <xf numFmtId="0" fontId="6" fillId="33" borderId="14" xfId="0" applyFont="1" applyFill="1" applyBorder="1" applyAlignment="1">
      <alignment horizontal="center" vertical="center"/>
    </xf>
    <xf numFmtId="178" fontId="6" fillId="31" borderId="14" xfId="325" applyNumberFormat="1" applyFont="1" applyFill="1" applyBorder="1" applyAlignment="1"/>
    <xf numFmtId="178" fontId="6" fillId="33" borderId="14" xfId="325" applyNumberFormat="1" applyFont="1" applyFill="1" applyBorder="1" applyAlignment="1"/>
    <xf numFmtId="0" fontId="83" fillId="33" borderId="0" xfId="247" applyFont="1" applyFill="1" applyBorder="1" applyAlignment="1">
      <alignment vertical="center"/>
    </xf>
    <xf numFmtId="178" fontId="5" fillId="33" borderId="3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178" fontId="4" fillId="33" borderId="3" xfId="0" applyNumberFormat="1" applyFont="1" applyFill="1" applyBorder="1" applyAlignment="1">
      <alignment horizontal="center" vertical="center" wrapText="1"/>
    </xf>
    <xf numFmtId="178" fontId="4" fillId="32" borderId="3" xfId="325" applyNumberFormat="1" applyFont="1" applyFill="1" applyBorder="1" applyAlignment="1">
      <alignment horizontal="center" vertical="center"/>
    </xf>
    <xf numFmtId="178" fontId="6" fillId="0" borderId="3" xfId="325" applyNumberFormat="1" applyFont="1" applyFill="1" applyBorder="1" applyAlignment="1">
      <alignment vertical="center" wrapText="1"/>
    </xf>
    <xf numFmtId="178" fontId="5" fillId="0" borderId="3" xfId="325" quotePrefix="1" applyNumberFormat="1" applyFont="1" applyFill="1" applyBorder="1" applyAlignment="1">
      <alignment vertical="center" wrapText="1"/>
    </xf>
    <xf numFmtId="186" fontId="4" fillId="0" borderId="3" xfId="325" applyNumberFormat="1" applyFont="1" applyFill="1" applyBorder="1" applyAlignment="1">
      <alignment horizontal="center" vertical="center" wrapText="1"/>
    </xf>
    <xf numFmtId="186" fontId="6" fillId="0" borderId="3" xfId="325" applyNumberFormat="1" applyFont="1" applyFill="1" applyBorder="1" applyAlignment="1">
      <alignment horizontal="center" vertical="center" wrapText="1"/>
    </xf>
    <xf numFmtId="186" fontId="5" fillId="0" borderId="3" xfId="325" applyNumberFormat="1" applyFont="1" applyFill="1" applyBorder="1" applyAlignment="1">
      <alignment horizontal="center" vertical="center" wrapText="1"/>
    </xf>
    <xf numFmtId="0" fontId="68" fillId="0" borderId="0" xfId="247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6" fillId="31" borderId="3" xfId="0" applyFont="1" applyFill="1" applyBorder="1" applyAlignment="1">
      <alignment horizontal="center" vertical="center" wrapText="1"/>
    </xf>
    <xf numFmtId="0" fontId="6" fillId="31" borderId="3" xfId="0" applyFont="1" applyFill="1" applyBorder="1" applyAlignment="1">
      <alignment horizontal="left" vertical="center" wrapText="1" indent="2"/>
    </xf>
    <xf numFmtId="186" fontId="5" fillId="33" borderId="3" xfId="325" applyNumberFormat="1" applyFont="1" applyFill="1" applyBorder="1" applyAlignment="1">
      <alignment horizontal="center" vertical="center" wrapText="1"/>
    </xf>
    <xf numFmtId="186" fontId="4" fillId="33" borderId="3" xfId="325" applyNumberFormat="1" applyFont="1" applyFill="1" applyBorder="1" applyAlignment="1">
      <alignment horizontal="center" vertical="center" wrapText="1"/>
    </xf>
    <xf numFmtId="186" fontId="4" fillId="0" borderId="3" xfId="325" applyNumberFormat="1" applyFont="1" applyFill="1" applyBorder="1" applyAlignment="1">
      <alignment horizontal="center" vertical="center"/>
    </xf>
    <xf numFmtId="186" fontId="4" fillId="31" borderId="3" xfId="325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78" fontId="5" fillId="0" borderId="0" xfId="325" applyNumberFormat="1" applyFont="1" applyFill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30" borderId="0" xfId="0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vertical="center"/>
    </xf>
    <xf numFmtId="0" fontId="4" fillId="30" borderId="0" xfId="0" applyFont="1" applyFill="1" applyBorder="1" applyAlignment="1">
      <alignment horizontal="center" vertical="center"/>
    </xf>
    <xf numFmtId="183" fontId="4" fillId="30" borderId="0" xfId="325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78" fontId="6" fillId="30" borderId="0" xfId="325" applyNumberFormat="1" applyFont="1" applyFill="1" applyBorder="1" applyAlignment="1">
      <alignment horizontal="right" vertical="center"/>
    </xf>
    <xf numFmtId="0" fontId="81" fillId="31" borderId="3" xfId="0" applyFont="1" applyFill="1" applyBorder="1" applyAlignment="1">
      <alignment horizontal="left" vertical="center" wrapText="1" indent="2"/>
    </xf>
    <xf numFmtId="186" fontId="5" fillId="0" borderId="3" xfId="325" applyNumberFormat="1" applyFont="1" applyFill="1" applyBorder="1" applyAlignment="1">
      <alignment vertical="center" wrapText="1"/>
    </xf>
    <xf numFmtId="0" fontId="5" fillId="31" borderId="3" xfId="0" applyFont="1" applyFill="1" applyBorder="1" applyAlignment="1">
      <alignment horizontal="left" vertical="center" wrapText="1" indent="1"/>
    </xf>
    <xf numFmtId="9" fontId="5" fillId="0" borderId="3" xfId="356" applyFont="1" applyFill="1" applyBorder="1" applyAlignment="1">
      <alignment horizontal="center" vertical="center" wrapText="1"/>
    </xf>
    <xf numFmtId="183" fontId="5" fillId="0" borderId="0" xfId="325" applyNumberFormat="1" applyFont="1" applyFill="1" applyAlignment="1">
      <alignment horizontal="center" vertical="center"/>
    </xf>
    <xf numFmtId="0" fontId="5" fillId="33" borderId="3" xfId="0" applyFont="1" applyFill="1" applyBorder="1" applyAlignment="1">
      <alignment horizontal="left" vertical="center" wrapText="1" inden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9" fillId="33" borderId="15" xfId="0" quotePrefix="1" applyFont="1" applyFill="1" applyBorder="1" applyAlignment="1">
      <alignment horizontal="center" vertical="center"/>
    </xf>
    <xf numFmtId="4" fontId="5" fillId="33" borderId="3" xfId="0" applyNumberFormat="1" applyFont="1" applyFill="1" applyBorder="1" applyAlignment="1">
      <alignment horizontal="center" vertical="center" wrapText="1"/>
    </xf>
    <xf numFmtId="182" fontId="5" fillId="0" borderId="3" xfId="356" applyNumberFormat="1" applyFont="1" applyFill="1" applyBorder="1" applyAlignment="1">
      <alignment horizontal="center" vertical="center" wrapText="1"/>
    </xf>
    <xf numFmtId="171" fontId="77" fillId="0" borderId="3" xfId="0" applyNumberFormat="1" applyFont="1" applyFill="1" applyBorder="1" applyAlignment="1" applyProtection="1">
      <alignment horizontal="center" vertical="center"/>
      <protection locked="0"/>
    </xf>
    <xf numFmtId="0" fontId="77" fillId="31" borderId="3" xfId="0" applyFont="1" applyFill="1" applyBorder="1" applyAlignment="1">
      <alignment horizontal="left" vertical="center" wrapText="1" indent="1"/>
    </xf>
    <xf numFmtId="171" fontId="77" fillId="0" borderId="0" xfId="0" applyNumberFormat="1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1" fontId="5" fillId="0" borderId="3" xfId="325" applyNumberFormat="1" applyFont="1" applyFill="1" applyBorder="1" applyAlignment="1">
      <alignment horizontal="center" vertical="center" wrapText="1"/>
    </xf>
    <xf numFmtId="171" fontId="4" fillId="0" borderId="3" xfId="325" applyNumberFormat="1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71" fontId="83" fillId="0" borderId="0" xfId="0" applyNumberFormat="1" applyFont="1" applyFill="1" applyBorder="1" applyAlignment="1">
      <alignment vertical="center"/>
    </xf>
    <xf numFmtId="171" fontId="4" fillId="0" borderId="3" xfId="0" applyNumberFormat="1" applyFont="1" applyFill="1" applyBorder="1" applyAlignment="1">
      <alignment vertical="center"/>
    </xf>
    <xf numFmtId="171" fontId="78" fillId="31" borderId="3" xfId="0" applyNumberFormat="1" applyFont="1" applyFill="1" applyBorder="1" applyAlignment="1">
      <alignment horizontal="center" vertical="center" wrapText="1"/>
    </xf>
    <xf numFmtId="171" fontId="77" fillId="31" borderId="3" xfId="0" applyNumberFormat="1" applyFont="1" applyFill="1" applyBorder="1" applyAlignment="1">
      <alignment horizontal="center" vertical="center" wrapText="1"/>
    </xf>
    <xf numFmtId="171" fontId="77" fillId="0" borderId="0" xfId="0" applyNumberFormat="1" applyFont="1" applyFill="1" applyBorder="1" applyAlignment="1">
      <alignment horizontal="center" vertical="center"/>
    </xf>
    <xf numFmtId="0" fontId="78" fillId="31" borderId="3" xfId="0" applyFont="1" applyFill="1" applyBorder="1" applyAlignment="1">
      <alignment horizontal="center" vertical="center" wrapText="1"/>
    </xf>
    <xf numFmtId="0" fontId="78" fillId="31" borderId="3" xfId="0" applyFont="1" applyFill="1" applyBorder="1" applyAlignment="1">
      <alignment horizontal="center"/>
    </xf>
    <xf numFmtId="171" fontId="78" fillId="0" borderId="0" xfId="0" applyNumberFormat="1" applyFont="1" applyFill="1" applyBorder="1" applyAlignment="1">
      <alignment horizontal="center" vertical="center"/>
    </xf>
    <xf numFmtId="186" fontId="78" fillId="0" borderId="0" xfId="0" applyNumberFormat="1" applyFont="1" applyFill="1" applyBorder="1" applyAlignment="1">
      <alignment vertical="center"/>
    </xf>
    <xf numFmtId="186" fontId="77" fillId="0" borderId="0" xfId="0" applyNumberFormat="1" applyFont="1" applyFill="1" applyBorder="1" applyAlignment="1">
      <alignment vertical="center"/>
    </xf>
    <xf numFmtId="171" fontId="78" fillId="33" borderId="3" xfId="0" applyNumberFormat="1" applyFont="1" applyFill="1" applyBorder="1" applyAlignment="1" applyProtection="1">
      <alignment horizontal="center" vertical="center"/>
      <protection locked="0"/>
    </xf>
    <xf numFmtId="171" fontId="77" fillId="3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vertical="center" wrapText="1"/>
    </xf>
    <xf numFmtId="171" fontId="4" fillId="0" borderId="3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6" fillId="33" borderId="3" xfId="0" applyFont="1" applyFill="1" applyBorder="1" applyAlignment="1">
      <alignment horizontal="center" vertical="center"/>
    </xf>
    <xf numFmtId="170" fontId="5" fillId="33" borderId="3" xfId="0" applyNumberFormat="1" applyFont="1" applyFill="1" applyBorder="1" applyAlignment="1">
      <alignment horizontal="center" vertical="center"/>
    </xf>
    <xf numFmtId="2" fontId="9" fillId="33" borderId="3" xfId="0" applyNumberFormat="1" applyFont="1" applyFill="1" applyBorder="1" applyAlignment="1">
      <alignment horizontal="center" vertical="center" wrapText="1"/>
    </xf>
    <xf numFmtId="49" fontId="9" fillId="33" borderId="3" xfId="0" applyNumberFormat="1" applyFont="1" applyFill="1" applyBorder="1" applyAlignment="1">
      <alignment horizontal="center" vertical="center" wrapText="1"/>
    </xf>
    <xf numFmtId="170" fontId="13" fillId="33" borderId="13" xfId="0" applyNumberFormat="1" applyFont="1" applyFill="1" applyBorder="1" applyAlignment="1">
      <alignment horizontal="center" vertical="center"/>
    </xf>
    <xf numFmtId="170" fontId="5" fillId="33" borderId="3" xfId="0" applyNumberFormat="1" applyFont="1" applyFill="1" applyBorder="1" applyAlignment="1">
      <alignment horizontal="center" vertical="center" wrapText="1"/>
    </xf>
    <xf numFmtId="171" fontId="4" fillId="33" borderId="3" xfId="0" applyNumberFormat="1" applyFont="1" applyFill="1" applyBorder="1" applyAlignment="1">
      <alignment horizontal="center" vertical="center" wrapText="1"/>
    </xf>
    <xf numFmtId="170" fontId="4" fillId="33" borderId="3" xfId="0" applyNumberFormat="1" applyFont="1" applyFill="1" applyBorder="1" applyAlignment="1">
      <alignment horizontal="center" vertical="center"/>
    </xf>
    <xf numFmtId="170" fontId="4" fillId="33" borderId="13" xfId="0" applyNumberFormat="1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horizontal="left" vertical="center"/>
    </xf>
    <xf numFmtId="9" fontId="5" fillId="33" borderId="3" xfId="356" applyFont="1" applyFill="1" applyBorder="1" applyAlignment="1">
      <alignment horizontal="center" vertical="center" wrapText="1"/>
    </xf>
    <xf numFmtId="0" fontId="69" fillId="33" borderId="3" xfId="0" applyFont="1" applyFill="1" applyBorder="1" applyAlignment="1">
      <alignment horizontal="center" vertical="center" wrapText="1"/>
    </xf>
    <xf numFmtId="0" fontId="69" fillId="33" borderId="3" xfId="0" applyFont="1" applyFill="1" applyBorder="1" applyAlignment="1">
      <alignment horizontal="left" vertical="center" wrapText="1"/>
    </xf>
    <xf numFmtId="0" fontId="33" fillId="33" borderId="3" xfId="0" applyFont="1" applyFill="1" applyBorder="1" applyAlignment="1">
      <alignment horizontal="center" vertical="center" wrapText="1"/>
    </xf>
    <xf numFmtId="171" fontId="77" fillId="33" borderId="3" xfId="0" applyNumberFormat="1" applyFont="1" applyFill="1" applyBorder="1" applyAlignment="1">
      <alignment horizontal="center" vertical="center" wrapText="1"/>
    </xf>
    <xf numFmtId="171" fontId="80" fillId="0" borderId="3" xfId="0" applyNumberFormat="1" applyFont="1" applyFill="1" applyBorder="1" applyAlignment="1">
      <alignment horizontal="center" vertical="center" wrapText="1"/>
    </xf>
    <xf numFmtId="171" fontId="77" fillId="31" borderId="3" xfId="0" applyNumberFormat="1" applyFont="1" applyFill="1" applyBorder="1" applyAlignment="1">
      <alignment horizontal="center"/>
    </xf>
    <xf numFmtId="184" fontId="4" fillId="0" borderId="3" xfId="325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170" fontId="85" fillId="33" borderId="13" xfId="0" applyNumberFormat="1" applyFont="1" applyFill="1" applyBorder="1" applyAlignment="1">
      <alignment horizontal="center" vertical="center"/>
    </xf>
    <xf numFmtId="170" fontId="4" fillId="33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" fillId="0" borderId="0" xfId="247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31" borderId="3" xfId="0" applyFont="1" applyFill="1" applyBorder="1" applyAlignment="1">
      <alignment horizontal="left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185" fontId="5" fillId="35" borderId="0" xfId="0" applyNumberFormat="1" applyFont="1" applyFill="1" applyAlignment="1">
      <alignment vertical="center"/>
    </xf>
    <xf numFmtId="178" fontId="5" fillId="0" borderId="0" xfId="325" applyNumberFormat="1" applyFont="1" applyFill="1" applyAlignment="1">
      <alignment vertical="center"/>
    </xf>
    <xf numFmtId="183" fontId="5" fillId="0" borderId="0" xfId="325" applyNumberFormat="1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0" xfId="0" quotePrefix="1" applyFont="1" applyFill="1" applyBorder="1" applyAlignment="1">
      <alignment horizontal="center" vertical="center"/>
    </xf>
    <xf numFmtId="171" fontId="87" fillId="0" borderId="0" xfId="0" applyNumberFormat="1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170" fontId="77" fillId="0" borderId="3" xfId="0" applyNumberFormat="1" applyFont="1" applyFill="1" applyBorder="1" applyAlignment="1">
      <alignment horizontal="center" vertical="center" wrapText="1"/>
    </xf>
    <xf numFmtId="171" fontId="77" fillId="0" borderId="13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186" fontId="78" fillId="0" borderId="3" xfId="325" applyNumberFormat="1" applyFont="1" applyFill="1" applyBorder="1" applyAlignment="1">
      <alignment horizontal="center" vertical="center" wrapText="1"/>
    </xf>
    <xf numFmtId="186" fontId="77" fillId="0" borderId="3" xfId="325" applyNumberFormat="1" applyFont="1" applyFill="1" applyBorder="1" applyAlignment="1">
      <alignment horizontal="center" vertical="center" wrapText="1"/>
    </xf>
    <xf numFmtId="186" fontId="77" fillId="31" borderId="3" xfId="325" applyNumberFormat="1" applyFont="1" applyFill="1" applyBorder="1" applyAlignment="1">
      <alignment horizontal="center" vertical="center" wrapText="1"/>
    </xf>
    <xf numFmtId="186" fontId="78" fillId="31" borderId="3" xfId="325" applyNumberFormat="1" applyFont="1" applyFill="1" applyBorder="1" applyAlignment="1">
      <alignment horizontal="center" vertical="center"/>
    </xf>
    <xf numFmtId="170" fontId="5" fillId="31" borderId="3" xfId="0" applyNumberFormat="1" applyFont="1" applyFill="1" applyBorder="1" applyAlignment="1">
      <alignment horizontal="center" vertical="center" wrapText="1"/>
    </xf>
    <xf numFmtId="170" fontId="6" fillId="31" borderId="3" xfId="0" applyNumberFormat="1" applyFont="1" applyFill="1" applyBorder="1" applyAlignment="1">
      <alignment horizontal="center" vertical="center" wrapText="1"/>
    </xf>
    <xf numFmtId="171" fontId="6" fillId="0" borderId="3" xfId="0" applyNumberFormat="1" applyFont="1" applyFill="1" applyBorder="1" applyAlignment="1">
      <alignment horizontal="center" vertical="center" wrapText="1"/>
    </xf>
    <xf numFmtId="170" fontId="4" fillId="31" borderId="3" xfId="0" applyNumberFormat="1" applyFont="1" applyFill="1" applyBorder="1" applyAlignment="1">
      <alignment horizontal="center" vertical="center" wrapText="1"/>
    </xf>
    <xf numFmtId="178" fontId="4" fillId="36" borderId="3" xfId="325" applyNumberFormat="1" applyFont="1" applyFill="1" applyBorder="1" applyAlignment="1">
      <alignment horizontal="center" vertical="center" wrapText="1"/>
    </xf>
    <xf numFmtId="171" fontId="4" fillId="36" borderId="3" xfId="325" applyNumberFormat="1" applyFont="1" applyFill="1" applyBorder="1" applyAlignment="1">
      <alignment horizontal="center" vertical="center" wrapText="1"/>
    </xf>
    <xf numFmtId="178" fontId="5" fillId="0" borderId="3" xfId="325" applyNumberFormat="1" applyFont="1" applyFill="1" applyBorder="1" applyAlignment="1">
      <alignment horizontal="center" vertical="center" wrapText="1"/>
    </xf>
    <xf numFmtId="171" fontId="4" fillId="31" borderId="3" xfId="325" applyNumberFormat="1" applyFont="1" applyFill="1" applyBorder="1" applyAlignment="1">
      <alignment horizontal="center"/>
    </xf>
    <xf numFmtId="0" fontId="5" fillId="31" borderId="3" xfId="0" applyFont="1" applyFill="1" applyBorder="1" applyAlignment="1">
      <alignment horizontal="left" vertical="center" wrapText="1" indent="2"/>
    </xf>
    <xf numFmtId="171" fontId="5" fillId="31" borderId="3" xfId="325" applyNumberFormat="1" applyFont="1" applyFill="1" applyBorder="1" applyAlignment="1">
      <alignment horizontal="center"/>
    </xf>
    <xf numFmtId="171" fontId="4" fillId="32" borderId="17" xfId="325" applyNumberFormat="1" applyFont="1" applyFill="1" applyBorder="1" applyAlignment="1">
      <alignment horizontal="center" vertical="center" wrapText="1"/>
    </xf>
    <xf numFmtId="171" fontId="5" fillId="31" borderId="15" xfId="325" applyNumberFormat="1" applyFont="1" applyFill="1" applyBorder="1" applyAlignment="1">
      <alignment horizontal="center"/>
    </xf>
    <xf numFmtId="0" fontId="6" fillId="31" borderId="15" xfId="0" applyFont="1" applyFill="1" applyBorder="1" applyAlignment="1">
      <alignment horizontal="left" vertical="center" wrapText="1" indent="2"/>
    </xf>
    <xf numFmtId="0" fontId="76" fillId="0" borderId="15" xfId="0" quotePrefix="1" applyFont="1" applyFill="1" applyBorder="1" applyAlignment="1">
      <alignment horizontal="center" vertical="center"/>
    </xf>
    <xf numFmtId="178" fontId="6" fillId="31" borderId="3" xfId="325" applyNumberFormat="1" applyFont="1" applyFill="1" applyBorder="1" applyAlignment="1">
      <alignment horizontal="center"/>
    </xf>
    <xf numFmtId="171" fontId="6" fillId="31" borderId="15" xfId="325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/>
    <xf numFmtId="0" fontId="69" fillId="31" borderId="0" xfId="0" applyFont="1" applyFill="1" applyBorder="1" applyAlignment="1">
      <alignment horizontal="center" vertical="center" wrapText="1"/>
    </xf>
    <xf numFmtId="0" fontId="2" fillId="31" borderId="0" xfId="0" applyFont="1" applyFill="1" applyBorder="1"/>
    <xf numFmtId="0" fontId="5" fillId="31" borderId="3" xfId="0" applyFont="1" applyFill="1" applyBorder="1" applyAlignment="1">
      <alignment horizontal="center" vertical="center"/>
    </xf>
    <xf numFmtId="178" fontId="5" fillId="0" borderId="3" xfId="325" applyNumberFormat="1" applyFont="1" applyFill="1" applyBorder="1" applyAlignment="1"/>
    <xf numFmtId="178" fontId="5" fillId="0" borderId="3" xfId="325" applyNumberFormat="1" applyFont="1" applyFill="1" applyBorder="1" applyAlignment="1">
      <alignment vertical="center"/>
    </xf>
    <xf numFmtId="185" fontId="4" fillId="35" borderId="0" xfId="0" applyNumberFormat="1" applyFont="1" applyFill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70" fontId="6" fillId="33" borderId="3" xfId="0" applyNumberFormat="1" applyFont="1" applyFill="1" applyBorder="1" applyAlignment="1">
      <alignment horizontal="center" vertical="center"/>
    </xf>
    <xf numFmtId="170" fontId="90" fillId="33" borderId="13" xfId="0" applyNumberFormat="1" applyFont="1" applyFill="1" applyBorder="1" applyAlignment="1">
      <alignment horizontal="center" vertical="center"/>
    </xf>
    <xf numFmtId="170" fontId="6" fillId="33" borderId="3" xfId="0" applyNumberFormat="1" applyFont="1" applyFill="1" applyBorder="1" applyAlignment="1">
      <alignment horizontal="center" vertical="center" wrapText="1"/>
    </xf>
    <xf numFmtId="171" fontId="83" fillId="33" borderId="3" xfId="0" applyNumberFormat="1" applyFont="1" applyFill="1" applyBorder="1" applyAlignment="1">
      <alignment horizontal="center" vertical="center" wrapText="1"/>
    </xf>
    <xf numFmtId="171" fontId="6" fillId="33" borderId="3" xfId="0" applyNumberFormat="1" applyFont="1" applyFill="1" applyBorder="1" applyAlignment="1">
      <alignment horizontal="center" vertical="center" wrapText="1"/>
    </xf>
    <xf numFmtId="3" fontId="83" fillId="0" borderId="16" xfId="0" applyNumberFormat="1" applyFont="1" applyFill="1" applyBorder="1" applyAlignment="1">
      <alignment horizontal="center" vertical="center" wrapText="1"/>
    </xf>
    <xf numFmtId="0" fontId="83" fillId="0" borderId="3" xfId="0" applyFont="1" applyBorder="1" applyAlignment="1">
      <alignment vertical="center" wrapText="1"/>
    </xf>
    <xf numFmtId="170" fontId="83" fillId="33" borderId="3" xfId="0" applyNumberFormat="1" applyFont="1" applyFill="1" applyBorder="1" applyAlignment="1">
      <alignment horizontal="center" vertical="center"/>
    </xf>
    <xf numFmtId="170" fontId="91" fillId="33" borderId="13" xfId="0" applyNumberFormat="1" applyFont="1" applyFill="1" applyBorder="1" applyAlignment="1">
      <alignment horizontal="center" vertical="center"/>
    </xf>
    <xf numFmtId="170" fontId="83" fillId="33" borderId="13" xfId="0" applyNumberFormat="1" applyFont="1" applyFill="1" applyBorder="1" applyAlignment="1">
      <alignment horizontal="center" vertical="center" wrapText="1"/>
    </xf>
    <xf numFmtId="171" fontId="83" fillId="0" borderId="3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170" fontId="6" fillId="33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69" fillId="31" borderId="0" xfId="0" applyFont="1" applyFill="1" applyAlignment="1">
      <alignment horizontal="right" vertical="center" wrapText="1"/>
    </xf>
    <xf numFmtId="0" fontId="78" fillId="0" borderId="21" xfId="0" applyFont="1" applyFill="1" applyBorder="1" applyAlignment="1" applyProtection="1">
      <alignment horizontal="center" vertical="center"/>
      <protection locked="0"/>
    </xf>
    <xf numFmtId="0" fontId="78" fillId="31" borderId="18" xfId="0" applyFont="1" applyFill="1" applyBorder="1" applyAlignment="1">
      <alignment horizontal="center" vertical="center" wrapText="1"/>
    </xf>
    <xf numFmtId="0" fontId="78" fillId="31" borderId="19" xfId="0" applyFont="1" applyFill="1" applyBorder="1" applyAlignment="1">
      <alignment horizontal="center" vertical="center" wrapText="1"/>
    </xf>
    <xf numFmtId="0" fontId="78" fillId="31" borderId="20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 applyProtection="1">
      <alignment horizontal="center"/>
      <protection locked="0"/>
    </xf>
    <xf numFmtId="0" fontId="78" fillId="0" borderId="21" xfId="0" applyFont="1" applyFill="1" applyBorder="1" applyAlignment="1" applyProtection="1">
      <alignment horizontal="center"/>
      <protection locked="0"/>
    </xf>
    <xf numFmtId="0" fontId="78" fillId="0" borderId="13" xfId="0" applyFont="1" applyFill="1" applyBorder="1" applyAlignment="1" applyProtection="1">
      <alignment horizontal="center"/>
      <protection locked="0"/>
    </xf>
    <xf numFmtId="0" fontId="78" fillId="0" borderId="3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/>
    </xf>
    <xf numFmtId="171" fontId="86" fillId="0" borderId="0" xfId="0" applyNumberFormat="1" applyFont="1" applyFill="1" applyBorder="1" applyAlignment="1">
      <alignment horizontal="left" vertical="center" wrapText="1"/>
    </xf>
    <xf numFmtId="171" fontId="86" fillId="0" borderId="0" xfId="0" quotePrefix="1" applyNumberFormat="1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34" borderId="14" xfId="247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left" vertical="center" wrapText="1"/>
    </xf>
    <xf numFmtId="171" fontId="4" fillId="0" borderId="0" xfId="0" quotePrefix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247" applyFont="1" applyFill="1" applyBorder="1" applyAlignment="1">
      <alignment horizontal="center" vertical="center" wrapText="1"/>
    </xf>
    <xf numFmtId="0" fontId="5" fillId="0" borderId="15" xfId="24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239" applyNumberFormat="1" applyFont="1" applyFill="1" applyBorder="1" applyAlignment="1">
      <alignment horizontal="center" vertical="center" wrapText="1"/>
    </xf>
    <xf numFmtId="0" fontId="5" fillId="0" borderId="14" xfId="239" applyNumberFormat="1" applyFont="1" applyFill="1" applyBorder="1" applyAlignment="1">
      <alignment horizontal="center" vertical="center" wrapText="1"/>
    </xf>
    <xf numFmtId="0" fontId="5" fillId="0" borderId="15" xfId="239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1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31" borderId="0" xfId="0" applyFont="1" applyFill="1" applyAlignment="1">
      <alignment horizontal="left" vertical="center" wrapText="1"/>
    </xf>
    <xf numFmtId="0" fontId="5" fillId="31" borderId="16" xfId="0" applyFont="1" applyFill="1" applyBorder="1" applyAlignment="1">
      <alignment horizontal="left" vertical="center" wrapText="1"/>
    </xf>
    <xf numFmtId="0" fontId="5" fillId="31" borderId="21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82" fillId="3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16" xfId="0" applyNumberFormat="1" applyFont="1" applyFill="1" applyBorder="1" applyAlignment="1">
      <alignment horizontal="left" vertical="center" wrapText="1"/>
    </xf>
    <xf numFmtId="0" fontId="72" fillId="0" borderId="13" xfId="0" applyFont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</cellXfs>
  <cellStyles count="357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4" xfId="244"/>
    <cellStyle name="Обычный 2 15" xfId="245"/>
    <cellStyle name="Обычный 2 16" xfId="246"/>
    <cellStyle name="Обычный 2 2" xfId="247"/>
    <cellStyle name="Обычный 2 2 2" xfId="248"/>
    <cellStyle name="Обычный 2 2 3" xfId="249"/>
    <cellStyle name="Обычный 2 2_Расшифровка прочих" xfId="250"/>
    <cellStyle name="Обычный 2 3" xfId="251"/>
    <cellStyle name="Обычный 2 4" xfId="252"/>
    <cellStyle name="Обычный 2 5" xfId="253"/>
    <cellStyle name="Обычный 2 6" xfId="254"/>
    <cellStyle name="Обычный 2 7" xfId="255"/>
    <cellStyle name="Обычный 2 8" xfId="256"/>
    <cellStyle name="Обычный 2 9" xfId="257"/>
    <cellStyle name="Обычный 2_2604-2010" xfId="258"/>
    <cellStyle name="Обычный 3" xfId="259"/>
    <cellStyle name="Обычный 3 10" xfId="260"/>
    <cellStyle name="Обычный 3 11" xfId="261"/>
    <cellStyle name="Обычный 3 12" xfId="262"/>
    <cellStyle name="Обычный 3 13" xfId="263"/>
    <cellStyle name="Обычный 3 14" xfId="264"/>
    <cellStyle name="Обычный 3 2" xfId="265"/>
    <cellStyle name="Обычный 3 3" xfId="266"/>
    <cellStyle name="Обычный 3 4" xfId="267"/>
    <cellStyle name="Обычный 3 5" xfId="268"/>
    <cellStyle name="Обычный 3 6" xfId="269"/>
    <cellStyle name="Обычный 3 7" xfId="270"/>
    <cellStyle name="Обычный 3 8" xfId="271"/>
    <cellStyle name="Обычный 3 9" xfId="272"/>
    <cellStyle name="Обычный 3_Дефицит_7 млрд_0608_бс" xfId="273"/>
    <cellStyle name="Обычный 4" xfId="274"/>
    <cellStyle name="Обычный 5" xfId="275"/>
    <cellStyle name="Обычный 5 2" xfId="276"/>
    <cellStyle name="Обычный 6" xfId="277"/>
    <cellStyle name="Обычный 6 2" xfId="278"/>
    <cellStyle name="Обычный 6 3" xfId="279"/>
    <cellStyle name="Обычный 6 4" xfId="280"/>
    <cellStyle name="Обычный 6_Дефицит_7 млрд_0608_бс" xfId="281"/>
    <cellStyle name="Обычный 7" xfId="282"/>
    <cellStyle name="Обычный 7 2" xfId="283"/>
    <cellStyle name="Обычный 8" xfId="284"/>
    <cellStyle name="Обычный 9" xfId="285"/>
    <cellStyle name="Обычный 9 2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3" xfId="292"/>
    <cellStyle name="Процентный" xfId="356" builtinId="5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" xfId="325" builtinId="3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colors>
    <mruColors>
      <color rgb="FF0000CC"/>
      <color rgb="FFF0EA00"/>
      <color rgb="FFFFFF66"/>
      <color rgb="FFFFA18B"/>
      <color rgb="FF009ED6"/>
      <color rgb="FFFFFF99"/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1060;&#1030;&#1053;&#1055;&#1051;&#1040;&#1053;&#1048;\2022\&#1056;&#1086;&#1079;&#1096;&#1080;&#1092;&#1088;&#1086;&#1074;&#1082;&#1080;%20&#1074;%20&#1060;&#1055;%202022&#1074;%20&#1052;&#1042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1060;&#1030;&#1053;&#1055;&#1051;&#1040;&#1053;&#1048;\2021\2021%20%20&#1060;&#1030;&#1053;&#1055;&#1051;&#1040;&#1053;%20!!!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1060;&#1030;&#1053;&#1055;&#1051;&#1040;&#1053;&#1048;\2020\&#1047;&#1074;&#1110;&#1090;%20&#1060;&#1055;%20&#1079;&#1072;%202020%20&#1088;&#1110;&#1082;%20&#1091;&#1090;&#1086;&#1095;&#1085;&#1077;&#1085;&#1086;%20!!!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1060;&#1030;&#1053;&#1055;&#1051;&#1040;&#1053;&#1048;\&#1051;&#1110;&#1079;&#1080;&#1085;&#1075;%202021%20-20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  <sheetName val="Inform"/>
      <sheetName val="L4"/>
      <sheetName val="L10"/>
      <sheetName val="KOEF"/>
      <sheetName val="7  Інші витрати"/>
      <sheetName val="ОСВ МСФЗ"/>
      <sheetName val="База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шиф"/>
    </sheetNames>
    <sheetDataSet>
      <sheetData sheetId="0">
        <row r="5">
          <cell r="C5">
            <v>560607.0199999999</v>
          </cell>
        </row>
        <row r="6">
          <cell r="C6">
            <v>482735.95999999996</v>
          </cell>
          <cell r="D6">
            <v>552619.01729389466</v>
          </cell>
          <cell r="E6">
            <v>698003.9007679373</v>
          </cell>
          <cell r="L6">
            <v>438566.91851943836</v>
          </cell>
          <cell r="M6">
            <v>109392.90636349018</v>
          </cell>
          <cell r="N6">
            <v>82560.689234991427</v>
          </cell>
          <cell r="O6">
            <v>332904.06696513284</v>
          </cell>
        </row>
        <row r="7">
          <cell r="C7">
            <v>417950.11</v>
          </cell>
          <cell r="K7">
            <v>866988.09501607274</v>
          </cell>
          <cell r="L7">
            <v>388769.40706368006</v>
          </cell>
          <cell r="M7">
            <v>102452.74862461978</v>
          </cell>
          <cell r="N7">
            <v>78847.717189597737</v>
          </cell>
          <cell r="O7">
            <v>296918.2221381751</v>
          </cell>
        </row>
        <row r="8">
          <cell r="C8">
            <v>64785.85</v>
          </cell>
          <cell r="K8">
            <v>96436.486066980142</v>
          </cell>
        </row>
        <row r="9">
          <cell r="K9">
            <v>0</v>
          </cell>
        </row>
        <row r="10">
          <cell r="D10">
            <v>58703.784109601926</v>
          </cell>
        </row>
        <row r="11">
          <cell r="C11">
            <v>66.3</v>
          </cell>
          <cell r="D11">
            <v>0</v>
          </cell>
          <cell r="E11">
            <v>52.2</v>
          </cell>
        </row>
        <row r="12">
          <cell r="E12">
            <v>0</v>
          </cell>
        </row>
        <row r="13">
          <cell r="E13">
            <v>65130.543450448829</v>
          </cell>
          <cell r="L13">
            <v>17615.130590956876</v>
          </cell>
          <cell r="M13">
            <v>17371.536490956874</v>
          </cell>
          <cell r="N13">
            <v>17166.201250956874</v>
          </cell>
          <cell r="O13">
            <v>17783.57445385688</v>
          </cell>
        </row>
        <row r="14">
          <cell r="C14">
            <v>196.3</v>
          </cell>
          <cell r="D14">
            <v>240</v>
          </cell>
          <cell r="E14">
            <v>209.7</v>
          </cell>
          <cell r="L14">
            <v>70</v>
          </cell>
          <cell r="M14">
            <v>20</v>
          </cell>
          <cell r="N14">
            <v>20</v>
          </cell>
          <cell r="O14">
            <v>100</v>
          </cell>
        </row>
        <row r="15">
          <cell r="C15">
            <v>13762.46</v>
          </cell>
          <cell r="D15">
            <v>9000</v>
          </cell>
          <cell r="E15">
            <v>22871.01</v>
          </cell>
          <cell r="L15">
            <v>5887.3770000000004</v>
          </cell>
          <cell r="M15">
            <v>5887.3770000000004</v>
          </cell>
          <cell r="N15">
            <v>5887.3770000000004</v>
          </cell>
          <cell r="O15">
            <v>5887.3770000000004</v>
          </cell>
        </row>
        <row r="16">
          <cell r="C16">
            <v>972.1</v>
          </cell>
          <cell r="D16">
            <v>1173.0666666666666</v>
          </cell>
          <cell r="E16">
            <v>941.85800000000006</v>
          </cell>
          <cell r="L16">
            <v>230</v>
          </cell>
          <cell r="M16">
            <v>230</v>
          </cell>
          <cell r="N16">
            <v>230</v>
          </cell>
          <cell r="O16">
            <v>230</v>
          </cell>
        </row>
        <row r="17">
          <cell r="C17">
            <v>283.60000000000002</v>
          </cell>
          <cell r="D17">
            <v>120</v>
          </cell>
          <cell r="E17">
            <v>312.7</v>
          </cell>
          <cell r="L17">
            <v>100</v>
          </cell>
          <cell r="M17">
            <v>50</v>
          </cell>
          <cell r="N17">
            <v>50</v>
          </cell>
          <cell r="O17">
            <v>100</v>
          </cell>
        </row>
        <row r="18">
          <cell r="C18">
            <v>40</v>
          </cell>
          <cell r="E18">
            <v>0</v>
          </cell>
        </row>
        <row r="19">
          <cell r="C19">
            <v>3298.1</v>
          </cell>
          <cell r="D19">
            <v>2251.0994166666669</v>
          </cell>
          <cell r="E19">
            <v>2877.0000000000059</v>
          </cell>
          <cell r="L19">
            <v>821.49187500000005</v>
          </cell>
          <cell r="M19">
            <v>671.49187500000005</v>
          </cell>
          <cell r="N19">
            <v>521.49187500000005</v>
          </cell>
          <cell r="O19">
            <v>881.49187500000005</v>
          </cell>
        </row>
        <row r="20">
          <cell r="C20">
            <v>7166.18</v>
          </cell>
          <cell r="D20">
            <v>8342.2716782790012</v>
          </cell>
          <cell r="E20">
            <v>8566.8875414599988</v>
          </cell>
          <cell r="L20">
            <v>3042.2352599999999</v>
          </cell>
          <cell r="M20">
            <v>3048.6411599999997</v>
          </cell>
          <cell r="N20">
            <v>2993.3059199999998</v>
          </cell>
          <cell r="O20">
            <v>3120.6791229</v>
          </cell>
        </row>
        <row r="21">
          <cell r="C21">
            <v>8619.2000000000007</v>
          </cell>
          <cell r="D21">
            <v>6922.9379000000008</v>
          </cell>
          <cell r="E21">
            <v>9252.7792369999988</v>
          </cell>
          <cell r="L21">
            <v>2428.8527340000001</v>
          </cell>
          <cell r="M21">
            <v>2428.8527340000001</v>
          </cell>
          <cell r="N21">
            <v>2428.8527340000001</v>
          </cell>
          <cell r="O21">
            <v>2428.8527340000001</v>
          </cell>
        </row>
        <row r="22">
          <cell r="C22">
            <v>2633.32</v>
          </cell>
          <cell r="D22">
            <v>3042.3416666666667</v>
          </cell>
          <cell r="E22">
            <v>2117.5</v>
          </cell>
        </row>
        <row r="23">
          <cell r="C23">
            <v>11623.3</v>
          </cell>
          <cell r="D23">
            <v>12034.5537</v>
          </cell>
          <cell r="E23">
            <v>12946.559529175</v>
          </cell>
          <cell r="L23">
            <v>3793.1992791750004</v>
          </cell>
          <cell r="M23">
            <v>3793.1992791750004</v>
          </cell>
          <cell r="N23">
            <v>3793.1992791750004</v>
          </cell>
          <cell r="O23">
            <v>3793.1992791750004</v>
          </cell>
        </row>
        <row r="24">
          <cell r="C24">
            <v>0</v>
          </cell>
          <cell r="D24">
            <v>3034.2676000000001</v>
          </cell>
          <cell r="E24">
            <v>970.47444278187572</v>
          </cell>
          <cell r="L24">
            <v>970.47444278187572</v>
          </cell>
          <cell r="M24">
            <v>970.47444278187572</v>
          </cell>
          <cell r="N24">
            <v>970.47444278187572</v>
          </cell>
          <cell r="O24">
            <v>970.47444278187572</v>
          </cell>
        </row>
        <row r="25">
          <cell r="C25">
            <v>643.29999999999995</v>
          </cell>
          <cell r="D25">
            <v>647.04190000000017</v>
          </cell>
          <cell r="E25">
            <v>1390.1</v>
          </cell>
          <cell r="L25">
            <v>271.5</v>
          </cell>
          <cell r="M25">
            <v>271.5</v>
          </cell>
          <cell r="N25">
            <v>271.5</v>
          </cell>
          <cell r="O25">
            <v>271.5</v>
          </cell>
        </row>
        <row r="26">
          <cell r="C26">
            <v>3392.9</v>
          </cell>
          <cell r="D26">
            <v>4413.0397313229187</v>
          </cell>
          <cell r="E26">
            <v>2028.7747000319498</v>
          </cell>
        </row>
        <row r="27">
          <cell r="C27">
            <v>10084.700000000001</v>
          </cell>
          <cell r="D27">
            <v>0</v>
          </cell>
          <cell r="E27">
            <v>0</v>
          </cell>
          <cell r="L27">
            <v>0</v>
          </cell>
        </row>
        <row r="28">
          <cell r="C28">
            <v>7116.7000000000007</v>
          </cell>
          <cell r="D28">
            <v>7483.1638499999999</v>
          </cell>
          <cell r="E28">
            <v>645.20000000000005</v>
          </cell>
        </row>
        <row r="29">
          <cell r="E29">
            <v>24399.3</v>
          </cell>
          <cell r="L29">
            <v>36864.148500000003</v>
          </cell>
          <cell r="M29">
            <v>36864.148500000003</v>
          </cell>
          <cell r="N29">
            <v>36864.148500000003</v>
          </cell>
          <cell r="O29">
            <v>36864.148500000003</v>
          </cell>
        </row>
        <row r="31">
          <cell r="C31">
            <v>398.6</v>
          </cell>
          <cell r="D31">
            <v>0</v>
          </cell>
          <cell r="E31">
            <v>0</v>
          </cell>
          <cell r="L31">
            <v>0</v>
          </cell>
        </row>
        <row r="33">
          <cell r="C33">
            <v>6732.5999999999995</v>
          </cell>
          <cell r="E33">
            <v>13098.614000000001</v>
          </cell>
        </row>
        <row r="34">
          <cell r="C34">
            <v>841.40000000000009</v>
          </cell>
          <cell r="D34">
            <v>848</v>
          </cell>
          <cell r="E34">
            <v>843</v>
          </cell>
          <cell r="L34">
            <v>210</v>
          </cell>
          <cell r="M34">
            <v>210</v>
          </cell>
          <cell r="N34">
            <v>210</v>
          </cell>
          <cell r="O34">
            <v>210</v>
          </cell>
        </row>
        <row r="36">
          <cell r="E36">
            <v>670563.00998916174</v>
          </cell>
          <cell r="L36">
            <v>353531.73984357389</v>
          </cell>
          <cell r="M36">
            <v>100990.2216402083</v>
          </cell>
          <cell r="N36">
            <v>80378.154652015059</v>
          </cell>
          <cell r="O36">
            <v>278411.59387292783</v>
          </cell>
        </row>
        <row r="37">
          <cell r="C37">
            <v>6668.4000000000015</v>
          </cell>
          <cell r="D37">
            <v>4713.4626000000007</v>
          </cell>
          <cell r="E37">
            <v>4747.666666666667</v>
          </cell>
          <cell r="L37">
            <v>1224.3000000000002</v>
          </cell>
          <cell r="M37">
            <v>1221.99</v>
          </cell>
          <cell r="N37">
            <v>1124.3000000000002</v>
          </cell>
          <cell r="O37">
            <v>1679.9566666666667</v>
          </cell>
        </row>
        <row r="38">
          <cell r="C38">
            <v>218907.5</v>
          </cell>
          <cell r="D38">
            <v>235313.1</v>
          </cell>
          <cell r="E38">
            <v>373892.45836596796</v>
          </cell>
          <cell r="L38">
            <v>227549.49700841424</v>
          </cell>
          <cell r="M38">
            <v>36352.195291147611</v>
          </cell>
          <cell r="N38">
            <v>19938.580936989321</v>
          </cell>
          <cell r="O38">
            <v>167768.89042897866</v>
          </cell>
        </row>
        <row r="39">
          <cell r="C39">
            <v>1642.2</v>
          </cell>
          <cell r="D39">
            <v>6840.1869261877227</v>
          </cell>
          <cell r="E39">
            <v>1913.57</v>
          </cell>
          <cell r="L39">
            <v>662.2</v>
          </cell>
          <cell r="M39">
            <v>815.1</v>
          </cell>
          <cell r="N39">
            <v>172.55700000000002</v>
          </cell>
          <cell r="O39">
            <v>455.07000000000011</v>
          </cell>
        </row>
        <row r="40">
          <cell r="C40">
            <v>3987.6</v>
          </cell>
          <cell r="D40">
            <v>1285.4100529279181</v>
          </cell>
          <cell r="E40">
            <v>98636.759841689258</v>
          </cell>
          <cell r="L40">
            <v>54370.836453521581</v>
          </cell>
          <cell r="M40">
            <v>12851.164640112884</v>
          </cell>
          <cell r="N40">
            <v>9062.7207534486442</v>
          </cell>
          <cell r="O40">
            <v>40541.839088240624</v>
          </cell>
        </row>
        <row r="41">
          <cell r="C41">
            <v>17882.3</v>
          </cell>
          <cell r="D41">
            <v>25810.396891724879</v>
          </cell>
          <cell r="E41">
            <v>23211.28775</v>
          </cell>
          <cell r="L41">
            <v>11558.82</v>
          </cell>
          <cell r="M41">
            <v>4643.625</v>
          </cell>
          <cell r="N41">
            <v>5107.9875000000002</v>
          </cell>
          <cell r="O41">
            <v>9139.5674999999992</v>
          </cell>
        </row>
        <row r="42">
          <cell r="C42">
            <v>58793.7</v>
          </cell>
          <cell r="D42">
            <v>65101.380000000005</v>
          </cell>
          <cell r="E42">
            <v>72593.697857311461</v>
          </cell>
          <cell r="L42">
            <v>23252.675039999998</v>
          </cell>
          <cell r="M42">
            <v>23352.675039999998</v>
          </cell>
          <cell r="N42">
            <v>23452.675039999998</v>
          </cell>
          <cell r="O42">
            <v>23752.675039999998</v>
          </cell>
        </row>
        <row r="43">
          <cell r="C43">
            <v>12219.9</v>
          </cell>
          <cell r="D43">
            <v>14322.303599999999</v>
          </cell>
          <cell r="E43">
            <v>15538.074905657704</v>
          </cell>
          <cell r="L43">
            <v>5115.5885087999995</v>
          </cell>
          <cell r="M43">
            <v>5137.5885087999995</v>
          </cell>
          <cell r="N43">
            <v>5159.5885087999995</v>
          </cell>
          <cell r="O43">
            <v>5225.5885087999995</v>
          </cell>
        </row>
        <row r="44">
          <cell r="C44">
            <v>779.90000000000009</v>
          </cell>
          <cell r="D44">
            <v>239.767</v>
          </cell>
          <cell r="E44">
            <v>554.70000000000005</v>
          </cell>
          <cell r="L44">
            <v>194.51575</v>
          </cell>
          <cell r="M44">
            <v>194.51575</v>
          </cell>
          <cell r="N44">
            <v>194.51575</v>
          </cell>
          <cell r="O44">
            <v>194.51575</v>
          </cell>
        </row>
        <row r="45">
          <cell r="C45">
            <v>4571.1000000000004</v>
          </cell>
          <cell r="D45">
            <v>6625.8310000000001</v>
          </cell>
          <cell r="E45">
            <v>6056.2155000000002</v>
          </cell>
          <cell r="L45">
            <v>1641.65</v>
          </cell>
          <cell r="M45">
            <v>2141.65</v>
          </cell>
          <cell r="N45">
            <v>3141.65</v>
          </cell>
          <cell r="O45">
            <v>3641.65</v>
          </cell>
        </row>
        <row r="46">
          <cell r="C46">
            <v>20575.5</v>
          </cell>
          <cell r="D46">
            <v>21600</v>
          </cell>
          <cell r="E46">
            <v>23389.200000000001</v>
          </cell>
          <cell r="L46">
            <v>6100</v>
          </cell>
          <cell r="M46">
            <v>6100</v>
          </cell>
          <cell r="N46">
            <v>6100</v>
          </cell>
          <cell r="O46">
            <v>6100</v>
          </cell>
        </row>
        <row r="47">
          <cell r="D47">
            <v>116323.62962500002</v>
          </cell>
        </row>
        <row r="48">
          <cell r="C48">
            <v>1499.2</v>
          </cell>
          <cell r="D48">
            <v>1210.92</v>
          </cell>
          <cell r="E48">
            <v>1669.7000324999999</v>
          </cell>
          <cell r="L48">
            <v>443.20500000000004</v>
          </cell>
          <cell r="M48">
            <v>207.06</v>
          </cell>
          <cell r="N48">
            <v>463.33467862499998</v>
          </cell>
          <cell r="O48">
            <v>639.58535549999999</v>
          </cell>
        </row>
        <row r="49">
          <cell r="C49">
            <v>11341.2</v>
          </cell>
          <cell r="D49">
            <v>13625.93</v>
          </cell>
          <cell r="E49">
            <v>13983.104245718943</v>
          </cell>
          <cell r="L49">
            <v>4762.8164063689946</v>
          </cell>
          <cell r="M49">
            <v>3732.8613175348819</v>
          </cell>
          <cell r="N49">
            <v>3032.5865881003037</v>
          </cell>
          <cell r="O49">
            <v>4665.6176576186408</v>
          </cell>
        </row>
        <row r="50">
          <cell r="C50">
            <v>8584.2000000000007</v>
          </cell>
          <cell r="D50">
            <v>13014.9</v>
          </cell>
          <cell r="E50">
            <v>292.09999999999991</v>
          </cell>
        </row>
        <row r="51">
          <cell r="C51">
            <v>9806.4</v>
          </cell>
          <cell r="D51">
            <v>83082.539999999994</v>
          </cell>
          <cell r="E51">
            <v>28531.573432037647</v>
          </cell>
          <cell r="L51">
            <v>14535.783536951803</v>
          </cell>
          <cell r="M51">
            <v>2937.3543961100295</v>
          </cell>
          <cell r="N51">
            <v>2131.8596535433298</v>
          </cell>
          <cell r="O51">
            <v>12776.208432037647</v>
          </cell>
        </row>
        <row r="52">
          <cell r="C52">
            <v>263.10000000000002</v>
          </cell>
          <cell r="D52">
            <v>264.38</v>
          </cell>
          <cell r="E52">
            <v>465.67368826810662</v>
          </cell>
          <cell r="L52">
            <v>342.11707821603841</v>
          </cell>
          <cell r="M52">
            <v>90.15841878966539</v>
          </cell>
          <cell r="N52">
            <v>69.385991126846008</v>
          </cell>
          <cell r="O52">
            <v>261.28803548159408</v>
          </cell>
        </row>
        <row r="53">
          <cell r="C53">
            <v>4.5999999999999996</v>
          </cell>
          <cell r="D53">
            <v>29.806000000000001</v>
          </cell>
          <cell r="E53">
            <v>23</v>
          </cell>
          <cell r="L53">
            <v>37.625</v>
          </cell>
          <cell r="M53">
            <v>37.625</v>
          </cell>
          <cell r="N53">
            <v>37.625</v>
          </cell>
          <cell r="O53">
            <v>37.625</v>
          </cell>
        </row>
        <row r="54">
          <cell r="C54">
            <v>1135.4000000000001</v>
          </cell>
          <cell r="D54">
            <v>1260.1030000000003</v>
          </cell>
          <cell r="E54">
            <v>1327.4254533439914</v>
          </cell>
          <cell r="L54">
            <v>700.68706130118903</v>
          </cell>
          <cell r="M54">
            <v>142.23527771323538</v>
          </cell>
          <cell r="N54">
            <v>58.364251381610117</v>
          </cell>
          <cell r="O54">
            <v>491.09340960396543</v>
          </cell>
        </row>
        <row r="55">
          <cell r="C55">
            <v>57.4</v>
          </cell>
          <cell r="D55">
            <v>43.707999999999998</v>
          </cell>
          <cell r="E55">
            <v>65.003999999999991</v>
          </cell>
          <cell r="L55">
            <v>32.25</v>
          </cell>
          <cell r="M55">
            <v>32.25</v>
          </cell>
          <cell r="N55">
            <v>32.25</v>
          </cell>
          <cell r="O55">
            <v>32.25</v>
          </cell>
        </row>
        <row r="56">
          <cell r="C56">
            <v>379</v>
          </cell>
          <cell r="D56">
            <v>322.2</v>
          </cell>
          <cell r="E56">
            <v>323.55275</v>
          </cell>
          <cell r="L56">
            <v>90.5</v>
          </cell>
          <cell r="M56">
            <v>90.5</v>
          </cell>
          <cell r="N56">
            <v>90.5</v>
          </cell>
          <cell r="O56">
            <v>90.5</v>
          </cell>
        </row>
        <row r="57">
          <cell r="C57">
            <v>248.2</v>
          </cell>
          <cell r="D57">
            <v>157.78699999999998</v>
          </cell>
          <cell r="E57">
            <v>231.5</v>
          </cell>
          <cell r="L57">
            <v>50</v>
          </cell>
          <cell r="M57">
            <v>50</v>
          </cell>
          <cell r="N57">
            <v>148</v>
          </cell>
          <cell r="O57">
            <v>50</v>
          </cell>
        </row>
        <row r="58">
          <cell r="C58">
            <v>524.4</v>
          </cell>
          <cell r="D58">
            <v>347.10299999999995</v>
          </cell>
          <cell r="E58">
            <v>350.54275000000001</v>
          </cell>
          <cell r="L58">
            <v>111.44275</v>
          </cell>
          <cell r="M58">
            <v>111.44275</v>
          </cell>
          <cell r="N58">
            <v>111.44275</v>
          </cell>
          <cell r="O58">
            <v>111.44275</v>
          </cell>
        </row>
        <row r="59">
          <cell r="C59">
            <v>187.2</v>
          </cell>
          <cell r="D59">
            <v>144.55062500000003</v>
          </cell>
          <cell r="E59">
            <v>209.97499999999999</v>
          </cell>
          <cell r="L59">
            <v>61.574999999999996</v>
          </cell>
          <cell r="M59">
            <v>61.574999999999996</v>
          </cell>
          <cell r="N59">
            <v>61.574999999999996</v>
          </cell>
          <cell r="O59">
            <v>61.574999999999996</v>
          </cell>
        </row>
        <row r="60">
          <cell r="C60">
            <v>606.6</v>
          </cell>
          <cell r="D60">
            <v>548.30000000000007</v>
          </cell>
          <cell r="E60">
            <v>511.2</v>
          </cell>
          <cell r="L60">
            <v>129.94999999999999</v>
          </cell>
          <cell r="M60">
            <v>129.94999999999999</v>
          </cell>
          <cell r="N60">
            <v>129.94999999999999</v>
          </cell>
          <cell r="O60">
            <v>129.94999999999999</v>
          </cell>
        </row>
        <row r="61">
          <cell r="C61">
            <v>345.1</v>
          </cell>
          <cell r="D61">
            <v>431.3</v>
          </cell>
          <cell r="E61">
            <v>290.65549999999996</v>
          </cell>
          <cell r="L61">
            <v>86.277500000000003</v>
          </cell>
          <cell r="M61">
            <v>86.277500000000003</v>
          </cell>
          <cell r="N61">
            <v>86.277500000000003</v>
          </cell>
          <cell r="O61">
            <v>86.277500000000003</v>
          </cell>
        </row>
        <row r="62">
          <cell r="C62">
            <v>181.7</v>
          </cell>
          <cell r="D62">
            <v>97.013000000000005</v>
          </cell>
          <cell r="E62">
            <v>114.15325000000001</v>
          </cell>
          <cell r="L62">
            <v>32</v>
          </cell>
          <cell r="M62">
            <v>25</v>
          </cell>
          <cell r="N62">
            <v>25</v>
          </cell>
          <cell r="O62">
            <v>33</v>
          </cell>
        </row>
        <row r="63">
          <cell r="C63">
            <v>405.8</v>
          </cell>
          <cell r="D63">
            <v>555.84199999999998</v>
          </cell>
          <cell r="E63">
            <v>634.9</v>
          </cell>
          <cell r="L63">
            <v>182.4</v>
          </cell>
          <cell r="M63">
            <v>182.4</v>
          </cell>
          <cell r="N63">
            <v>182.4</v>
          </cell>
          <cell r="O63">
            <v>182.4</v>
          </cell>
        </row>
        <row r="64">
          <cell r="C64">
            <v>112</v>
          </cell>
          <cell r="D64">
            <v>107.447</v>
          </cell>
          <cell r="E64">
            <v>136.76175000000001</v>
          </cell>
          <cell r="L64">
            <v>34.5</v>
          </cell>
          <cell r="M64">
            <v>34.5</v>
          </cell>
          <cell r="N64">
            <v>34.5</v>
          </cell>
          <cell r="O64">
            <v>34.5</v>
          </cell>
        </row>
        <row r="65">
          <cell r="C65">
            <v>410.2</v>
          </cell>
          <cell r="D65">
            <v>362.7</v>
          </cell>
          <cell r="E65">
            <v>315.77499999999998</v>
          </cell>
          <cell r="L65">
            <v>90.013249999999999</v>
          </cell>
          <cell r="M65">
            <v>90.013249999999999</v>
          </cell>
          <cell r="N65">
            <v>90.013249999999999</v>
          </cell>
          <cell r="O65">
            <v>90.013249999999999</v>
          </cell>
        </row>
        <row r="66">
          <cell r="C66">
            <v>462.20000000000005</v>
          </cell>
          <cell r="D66">
            <v>717.1</v>
          </cell>
          <cell r="E66">
            <v>552.78224999999998</v>
          </cell>
          <cell r="L66">
            <v>138.5145</v>
          </cell>
          <cell r="M66">
            <v>138.5145</v>
          </cell>
          <cell r="N66">
            <v>138.5145</v>
          </cell>
          <cell r="O66">
            <v>138.5145</v>
          </cell>
        </row>
        <row r="67">
          <cell r="D67">
            <v>21797.233833333332</v>
          </cell>
          <cell r="E67">
            <v>25045.7385435</v>
          </cell>
          <cell r="L67">
            <v>7194.8143499999987</v>
          </cell>
          <cell r="M67">
            <v>7368.199349999999</v>
          </cell>
          <cell r="N67">
            <v>7602.6618499999986</v>
          </cell>
          <cell r="O67">
            <v>7690.9118499999986</v>
          </cell>
        </row>
        <row r="68">
          <cell r="C68">
            <v>105.3</v>
          </cell>
          <cell r="D68">
            <v>118.9727</v>
          </cell>
          <cell r="E68">
            <v>151.4</v>
          </cell>
          <cell r="L68">
            <v>39.227499999999999</v>
          </cell>
          <cell r="M68">
            <v>39.227499999999999</v>
          </cell>
          <cell r="N68">
            <v>39.227499999999999</v>
          </cell>
          <cell r="O68">
            <v>39.227499999999999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40</v>
          </cell>
          <cell r="E70">
            <v>40</v>
          </cell>
          <cell r="L70">
            <v>10</v>
          </cell>
          <cell r="M70">
            <v>10</v>
          </cell>
          <cell r="N70">
            <v>10</v>
          </cell>
          <cell r="O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O71">
            <v>0</v>
          </cell>
        </row>
        <row r="72">
          <cell r="C72">
            <v>322.5</v>
          </cell>
          <cell r="D72">
            <v>356.58333333333337</v>
          </cell>
          <cell r="E72">
            <v>348</v>
          </cell>
          <cell r="L72">
            <v>46.875</v>
          </cell>
          <cell r="M72">
            <v>46.875</v>
          </cell>
          <cell r="N72">
            <v>235.81250000000006</v>
          </cell>
          <cell r="O72">
            <v>51.5625</v>
          </cell>
        </row>
        <row r="73">
          <cell r="C73">
            <v>103.6</v>
          </cell>
          <cell r="D73">
            <v>107.50700000000001</v>
          </cell>
          <cell r="E73">
            <v>119.3535</v>
          </cell>
          <cell r="L73">
            <v>32.65</v>
          </cell>
          <cell r="M73">
            <v>32.65</v>
          </cell>
          <cell r="N73">
            <v>32.65</v>
          </cell>
          <cell r="O73">
            <v>32.65</v>
          </cell>
        </row>
        <row r="74">
          <cell r="C74">
            <v>218.2</v>
          </cell>
          <cell r="D74">
            <v>322.35000000000002</v>
          </cell>
          <cell r="E74">
            <v>262.5</v>
          </cell>
          <cell r="L74">
            <v>75</v>
          </cell>
          <cell r="M74">
            <v>75</v>
          </cell>
          <cell r="N74">
            <v>75</v>
          </cell>
          <cell r="O74">
            <v>75</v>
          </cell>
        </row>
        <row r="75">
          <cell r="C75">
            <v>12505.104508196722</v>
          </cell>
          <cell r="D75">
            <v>14427.21</v>
          </cell>
          <cell r="E75">
            <v>16138.883087704919</v>
          </cell>
          <cell r="L75">
            <v>4850.4849999999997</v>
          </cell>
          <cell r="M75">
            <v>5050.4849999999997</v>
          </cell>
          <cell r="N75">
            <v>5050.4849999999997</v>
          </cell>
          <cell r="O75">
            <v>5250.4849999999997</v>
          </cell>
        </row>
        <row r="76">
          <cell r="C76">
            <v>2302.0501639344261</v>
          </cell>
          <cell r="D76">
            <v>3173.9862000000003</v>
          </cell>
          <cell r="E76">
            <v>3197.1557057950818</v>
          </cell>
          <cell r="L76">
            <v>1018.6018499999999</v>
          </cell>
          <cell r="M76">
            <v>1060.6018499999998</v>
          </cell>
          <cell r="N76">
            <v>1060.6018499999998</v>
          </cell>
          <cell r="O76">
            <v>1102.6018499999998</v>
          </cell>
        </row>
        <row r="77">
          <cell r="C77">
            <v>520.34100000000001</v>
          </cell>
          <cell r="D77">
            <v>480</v>
          </cell>
          <cell r="E77">
            <v>569.20000000000005</v>
          </cell>
          <cell r="L77">
            <v>145</v>
          </cell>
          <cell r="M77">
            <v>145</v>
          </cell>
          <cell r="N77">
            <v>145</v>
          </cell>
          <cell r="O77">
            <v>145</v>
          </cell>
        </row>
        <row r="78">
          <cell r="C78">
            <v>0</v>
          </cell>
          <cell r="D78">
            <v>0</v>
          </cell>
          <cell r="E78">
            <v>0</v>
          </cell>
          <cell r="L78">
            <v>0</v>
          </cell>
        </row>
        <row r="82">
          <cell r="C82">
            <v>48.9</v>
          </cell>
          <cell r="D82">
            <v>100</v>
          </cell>
          <cell r="E82">
            <v>55.2</v>
          </cell>
          <cell r="L82">
            <v>20</v>
          </cell>
          <cell r="M82">
            <v>15</v>
          </cell>
          <cell r="N82">
            <v>15</v>
          </cell>
          <cell r="O82">
            <v>20</v>
          </cell>
        </row>
        <row r="83">
          <cell r="C83">
            <v>652.6</v>
          </cell>
          <cell r="D83">
            <v>700</v>
          </cell>
          <cell r="E83">
            <v>1179.7</v>
          </cell>
          <cell r="L83">
            <v>325</v>
          </cell>
          <cell r="M83">
            <v>325</v>
          </cell>
          <cell r="N83">
            <v>325</v>
          </cell>
          <cell r="O83">
            <v>325</v>
          </cell>
        </row>
        <row r="85">
          <cell r="C85">
            <v>28.2</v>
          </cell>
          <cell r="D85">
            <v>50</v>
          </cell>
          <cell r="E85">
            <v>29.6</v>
          </cell>
          <cell r="L85">
            <v>5</v>
          </cell>
          <cell r="M85">
            <v>5</v>
          </cell>
          <cell r="N85">
            <v>5</v>
          </cell>
          <cell r="O85">
            <v>15</v>
          </cell>
        </row>
        <row r="86">
          <cell r="C86">
            <v>60.8</v>
          </cell>
          <cell r="D86">
            <v>3.7</v>
          </cell>
          <cell r="E86">
            <v>6</v>
          </cell>
          <cell r="L86">
            <v>1.95</v>
          </cell>
          <cell r="M86">
            <v>1.95</v>
          </cell>
          <cell r="N86">
            <v>1.95</v>
          </cell>
          <cell r="O86">
            <v>1.95</v>
          </cell>
        </row>
        <row r="87">
          <cell r="C87">
            <v>149</v>
          </cell>
          <cell r="D87">
            <v>48</v>
          </cell>
          <cell r="E87">
            <v>52.7</v>
          </cell>
          <cell r="L87">
            <v>20</v>
          </cell>
          <cell r="M87">
            <v>10</v>
          </cell>
          <cell r="N87">
            <v>10</v>
          </cell>
          <cell r="O87">
            <v>25</v>
          </cell>
        </row>
        <row r="88">
          <cell r="C88">
            <v>50.6</v>
          </cell>
          <cell r="D88">
            <v>100</v>
          </cell>
          <cell r="E88">
            <v>62.3</v>
          </cell>
          <cell r="L88">
            <v>15</v>
          </cell>
          <cell r="M88">
            <v>15</v>
          </cell>
          <cell r="N88">
            <v>15</v>
          </cell>
          <cell r="O88">
            <v>20</v>
          </cell>
        </row>
        <row r="90">
          <cell r="C90">
            <v>139.4</v>
          </cell>
          <cell r="D90">
            <v>211.3</v>
          </cell>
          <cell r="E90">
            <v>140.35000000000002</v>
          </cell>
          <cell r="L90">
            <v>43.375</v>
          </cell>
          <cell r="M90">
            <v>43.375</v>
          </cell>
          <cell r="N90">
            <v>43.375</v>
          </cell>
          <cell r="O90">
            <v>43.375</v>
          </cell>
        </row>
        <row r="91">
          <cell r="C91">
            <v>116.69999999999999</v>
          </cell>
          <cell r="D91">
            <v>118.3925</v>
          </cell>
          <cell r="E91">
            <v>118.39624999999999</v>
          </cell>
          <cell r="L91">
            <v>32.56</v>
          </cell>
          <cell r="M91">
            <v>32.56</v>
          </cell>
          <cell r="N91">
            <v>32.56</v>
          </cell>
          <cell r="O91">
            <v>32.56</v>
          </cell>
        </row>
        <row r="92">
          <cell r="C92">
            <v>16</v>
          </cell>
          <cell r="D92">
            <v>6</v>
          </cell>
          <cell r="E92">
            <v>16</v>
          </cell>
          <cell r="L92">
            <v>5.25</v>
          </cell>
          <cell r="M92">
            <v>5.25</v>
          </cell>
          <cell r="N92">
            <v>5.25</v>
          </cell>
          <cell r="O92">
            <v>5.25</v>
          </cell>
        </row>
        <row r="93">
          <cell r="C93">
            <v>48.5</v>
          </cell>
          <cell r="D93">
            <v>40</v>
          </cell>
          <cell r="E93">
            <v>90.9</v>
          </cell>
          <cell r="L93">
            <v>46</v>
          </cell>
          <cell r="N93">
            <v>45</v>
          </cell>
        </row>
        <row r="94">
          <cell r="C94">
            <v>15.8</v>
          </cell>
          <cell r="D94">
            <v>65</v>
          </cell>
          <cell r="E94">
            <v>65</v>
          </cell>
          <cell r="L94">
            <v>17.55</v>
          </cell>
          <cell r="M94">
            <v>17.55</v>
          </cell>
          <cell r="N94">
            <v>17.55</v>
          </cell>
          <cell r="O94">
            <v>17.55</v>
          </cell>
        </row>
        <row r="95">
          <cell r="C95">
            <v>27.5</v>
          </cell>
          <cell r="D95">
            <v>184.72409999999999</v>
          </cell>
          <cell r="E95">
            <v>43.6</v>
          </cell>
          <cell r="L95">
            <v>13.7</v>
          </cell>
          <cell r="M95">
            <v>13.7</v>
          </cell>
          <cell r="N95">
            <v>13.7</v>
          </cell>
          <cell r="O95">
            <v>13.7</v>
          </cell>
        </row>
        <row r="96">
          <cell r="C96">
            <v>163.82399999999998</v>
          </cell>
          <cell r="D96">
            <v>200</v>
          </cell>
          <cell r="E96">
            <v>271.10000000000002</v>
          </cell>
          <cell r="L96">
            <v>90</v>
          </cell>
          <cell r="M96">
            <v>90</v>
          </cell>
          <cell r="N96">
            <v>90</v>
          </cell>
          <cell r="O96">
            <v>90</v>
          </cell>
        </row>
        <row r="97">
          <cell r="C97">
            <v>66.900000000000006</v>
          </cell>
          <cell r="D97">
            <v>39.284999999999997</v>
          </cell>
          <cell r="E97">
            <v>61.9</v>
          </cell>
          <cell r="L97">
            <v>16</v>
          </cell>
          <cell r="M97">
            <v>15</v>
          </cell>
          <cell r="N97">
            <v>15</v>
          </cell>
          <cell r="O97">
            <v>20</v>
          </cell>
        </row>
        <row r="98">
          <cell r="C98">
            <v>325.2</v>
          </cell>
          <cell r="D98">
            <v>320</v>
          </cell>
          <cell r="E98">
            <v>375.3</v>
          </cell>
          <cell r="L98">
            <v>100.59</v>
          </cell>
          <cell r="M98">
            <v>93.975000000000009</v>
          </cell>
          <cell r="N98">
            <v>94.5</v>
          </cell>
          <cell r="O98">
            <v>105</v>
          </cell>
        </row>
        <row r="99">
          <cell r="C99">
            <v>158.10000000000002</v>
          </cell>
          <cell r="D99">
            <v>300</v>
          </cell>
          <cell r="E99">
            <v>1341.2</v>
          </cell>
          <cell r="L99">
            <v>150</v>
          </cell>
          <cell r="M99">
            <v>150</v>
          </cell>
          <cell r="N99">
            <v>150</v>
          </cell>
          <cell r="O99">
            <v>150</v>
          </cell>
        </row>
        <row r="100">
          <cell r="C100">
            <v>306.29999999999995</v>
          </cell>
          <cell r="D100">
            <v>284.22300000000001</v>
          </cell>
          <cell r="E100">
            <v>310.00000000000034</v>
          </cell>
          <cell r="L100">
            <v>75</v>
          </cell>
          <cell r="M100">
            <v>75</v>
          </cell>
          <cell r="N100">
            <v>75</v>
          </cell>
          <cell r="O100">
            <v>100</v>
          </cell>
        </row>
        <row r="101">
          <cell r="C101">
            <v>7242.8850000000002</v>
          </cell>
          <cell r="D101">
            <v>11058.958259999998</v>
          </cell>
          <cell r="E101">
            <v>11091.098297280452</v>
          </cell>
          <cell r="L101">
            <v>4460.0482972804512</v>
          </cell>
          <cell r="M101">
            <v>4460.0482972804512</v>
          </cell>
          <cell r="N101">
            <v>4460.0482972804512</v>
          </cell>
          <cell r="O101">
            <v>4460.0482972804512</v>
          </cell>
        </row>
        <row r="104">
          <cell r="C104">
            <v>4142.875</v>
          </cell>
          <cell r="D104">
            <v>6162.3329999999996</v>
          </cell>
          <cell r="E104">
            <v>6104.7223684426226</v>
          </cell>
          <cell r="L104">
            <v>2135.5825</v>
          </cell>
          <cell r="M104">
            <v>2135.5825</v>
          </cell>
          <cell r="N104">
            <v>2235.5825</v>
          </cell>
          <cell r="O104">
            <v>2835.5825</v>
          </cell>
        </row>
        <row r="105">
          <cell r="C105">
            <v>851.9</v>
          </cell>
          <cell r="D105">
            <v>1355.71326</v>
          </cell>
          <cell r="E105">
            <v>1269.8149210573772</v>
          </cell>
          <cell r="L105">
            <v>469.82814999999999</v>
          </cell>
          <cell r="M105">
            <v>469.82814999999999</v>
          </cell>
          <cell r="N105">
            <v>491.82814999999999</v>
          </cell>
          <cell r="O105">
            <v>623.82815000000005</v>
          </cell>
        </row>
        <row r="106">
          <cell r="C106">
            <v>62.980000000000004</v>
          </cell>
          <cell r="D106">
            <v>36</v>
          </cell>
          <cell r="E106">
            <v>63.3</v>
          </cell>
          <cell r="L106">
            <v>15</v>
          </cell>
          <cell r="M106">
            <v>15</v>
          </cell>
          <cell r="N106">
            <v>15</v>
          </cell>
          <cell r="O106">
            <v>15</v>
          </cell>
        </row>
        <row r="112">
          <cell r="D112">
            <v>231.43</v>
          </cell>
        </row>
        <row r="128">
          <cell r="C128">
            <v>126.1</v>
          </cell>
          <cell r="E128">
            <v>150.69999999999999</v>
          </cell>
          <cell r="L128">
            <v>85</v>
          </cell>
          <cell r="N128">
            <v>70</v>
          </cell>
        </row>
        <row r="131">
          <cell r="C131">
            <v>8720.2999999999993</v>
          </cell>
          <cell r="D131">
            <v>150</v>
          </cell>
          <cell r="E131">
            <v>150</v>
          </cell>
        </row>
        <row r="134">
          <cell r="C134">
            <v>196.2</v>
          </cell>
          <cell r="D134">
            <v>105</v>
          </cell>
          <cell r="E134">
            <v>209.7</v>
          </cell>
          <cell r="L134">
            <v>70</v>
          </cell>
          <cell r="M134">
            <v>20</v>
          </cell>
          <cell r="N134">
            <v>20</v>
          </cell>
          <cell r="O134">
            <v>100</v>
          </cell>
        </row>
        <row r="135">
          <cell r="C135">
            <v>7773.27</v>
          </cell>
          <cell r="E135">
            <v>133.6</v>
          </cell>
          <cell r="L135">
            <v>25</v>
          </cell>
          <cell r="M135">
            <v>25</v>
          </cell>
          <cell r="N135">
            <v>25</v>
          </cell>
          <cell r="O135">
            <v>25</v>
          </cell>
        </row>
        <row r="136">
          <cell r="C136">
            <v>6757.5905901639344</v>
          </cell>
          <cell r="D136">
            <v>11991.327992499999</v>
          </cell>
          <cell r="E136">
            <v>7759.0028030223066</v>
          </cell>
          <cell r="L136">
            <v>2479.7118576386279</v>
          </cell>
          <cell r="M136">
            <v>2379.7118576386279</v>
          </cell>
          <cell r="N136">
            <v>2379.7118576386279</v>
          </cell>
          <cell r="O136">
            <v>2679.7118576386279</v>
          </cell>
        </row>
        <row r="137">
          <cell r="C137">
            <v>1436.275409836066</v>
          </cell>
          <cell r="D137">
            <v>2638.0921583499999</v>
          </cell>
          <cell r="E137">
            <v>1705.1966166649074</v>
          </cell>
          <cell r="L137">
            <v>545.53660868049815</v>
          </cell>
          <cell r="M137">
            <v>523.53660868049815</v>
          </cell>
          <cell r="N137">
            <v>523.53660868049815</v>
          </cell>
          <cell r="O137">
            <v>589.53660868049815</v>
          </cell>
        </row>
        <row r="138">
          <cell r="C138">
            <v>528.09999999999991</v>
          </cell>
          <cell r="D138">
            <v>520</v>
          </cell>
          <cell r="E138">
            <v>480.6</v>
          </cell>
          <cell r="L138">
            <v>125</v>
          </cell>
          <cell r="M138">
            <v>125</v>
          </cell>
          <cell r="N138">
            <v>125</v>
          </cell>
          <cell r="O138">
            <v>125</v>
          </cell>
        </row>
        <row r="139">
          <cell r="D139">
            <v>2912.1</v>
          </cell>
          <cell r="E139">
            <v>812.02</v>
          </cell>
        </row>
        <row r="140">
          <cell r="C140">
            <v>0</v>
          </cell>
          <cell r="D140">
            <v>2485.6921559317334</v>
          </cell>
          <cell r="E140">
            <v>1738.139070217841</v>
          </cell>
        </row>
        <row r="141">
          <cell r="C141">
            <v>205.1</v>
          </cell>
          <cell r="D141">
            <v>269.5</v>
          </cell>
          <cell r="E141">
            <v>238</v>
          </cell>
          <cell r="L141">
            <v>65.45</v>
          </cell>
          <cell r="M141">
            <v>64.625</v>
          </cell>
          <cell r="N141">
            <v>64.625</v>
          </cell>
          <cell r="O141">
            <v>64.625</v>
          </cell>
        </row>
        <row r="142">
          <cell r="D142">
            <v>13142.064</v>
          </cell>
          <cell r="E142">
            <v>31167.104500000001</v>
          </cell>
          <cell r="L142">
            <v>8211.99</v>
          </cell>
          <cell r="M142">
            <v>8090.1899999999987</v>
          </cell>
          <cell r="N142">
            <v>8090.1899999999987</v>
          </cell>
          <cell r="O142">
            <v>8303.34</v>
          </cell>
        </row>
        <row r="143">
          <cell r="C143">
            <v>3742.1800000000021</v>
          </cell>
          <cell r="D143">
            <v>5342.0640000000003</v>
          </cell>
          <cell r="E143">
            <v>8623.3266299999996</v>
          </cell>
          <cell r="L143">
            <v>2496.9</v>
          </cell>
          <cell r="M143">
            <v>2375.1</v>
          </cell>
          <cell r="N143">
            <v>2375.1</v>
          </cell>
          <cell r="O143">
            <v>2588.25</v>
          </cell>
        </row>
        <row r="144">
          <cell r="C144">
            <v>9568.0199999999986</v>
          </cell>
          <cell r="D144">
            <v>7800</v>
          </cell>
          <cell r="E144">
            <v>22543.777870000002</v>
          </cell>
          <cell r="L144">
            <v>5715.0899999999992</v>
          </cell>
          <cell r="M144">
            <v>5715.0899999999992</v>
          </cell>
          <cell r="N144">
            <v>5715.0899999999992</v>
          </cell>
          <cell r="O144">
            <v>5715.0899999999992</v>
          </cell>
        </row>
        <row r="145">
          <cell r="C145">
            <v>416.5</v>
          </cell>
          <cell r="D145">
            <v>500</v>
          </cell>
          <cell r="E145">
            <v>517.70000000000005</v>
          </cell>
          <cell r="L145">
            <v>133.45500000000001</v>
          </cell>
          <cell r="M145">
            <v>123.58499999999999</v>
          </cell>
          <cell r="N145">
            <v>105</v>
          </cell>
          <cell r="O145">
            <v>181.54499999999999</v>
          </cell>
        </row>
        <row r="146">
          <cell r="C146">
            <v>36.700000000000003</v>
          </cell>
          <cell r="D146">
            <v>30</v>
          </cell>
          <cell r="E146">
            <v>27.799999999999997</v>
          </cell>
          <cell r="L146">
            <v>9.3450000000000006</v>
          </cell>
          <cell r="M146">
            <v>4.2</v>
          </cell>
          <cell r="N146">
            <v>6.3000000000000007</v>
          </cell>
          <cell r="O146">
            <v>9.3450000000000006</v>
          </cell>
        </row>
        <row r="147">
          <cell r="C147">
            <v>120.3</v>
          </cell>
          <cell r="D147">
            <v>80</v>
          </cell>
          <cell r="E147">
            <v>148.44</v>
          </cell>
          <cell r="L147">
            <v>10</v>
          </cell>
          <cell r="M147">
            <v>50</v>
          </cell>
          <cell r="N147">
            <v>50</v>
          </cell>
          <cell r="O147">
            <v>50</v>
          </cell>
        </row>
        <row r="148">
          <cell r="C148">
            <v>72.400000000000006</v>
          </cell>
          <cell r="D148">
            <v>75</v>
          </cell>
          <cell r="E148">
            <v>181.4</v>
          </cell>
          <cell r="L148">
            <v>47.069099999999999</v>
          </cell>
          <cell r="M148">
            <v>49.1751</v>
          </cell>
          <cell r="N148">
            <v>47.384999999999998</v>
          </cell>
          <cell r="O148">
            <v>47.384999999999998</v>
          </cell>
        </row>
        <row r="149">
          <cell r="C149">
            <v>435.7</v>
          </cell>
          <cell r="E149">
            <v>813.8</v>
          </cell>
          <cell r="L149">
            <v>220.81500000000003</v>
          </cell>
          <cell r="M149">
            <v>205.27500000000001</v>
          </cell>
          <cell r="N149">
            <v>207.9</v>
          </cell>
          <cell r="O149">
            <v>220.5</v>
          </cell>
        </row>
        <row r="150">
          <cell r="C150">
            <v>47.7</v>
          </cell>
          <cell r="D150">
            <v>50</v>
          </cell>
          <cell r="E150">
            <v>138.80000000000001</v>
          </cell>
          <cell r="L150">
            <v>50</v>
          </cell>
          <cell r="M150">
            <v>20</v>
          </cell>
          <cell r="N150">
            <v>20</v>
          </cell>
          <cell r="O150">
            <v>50</v>
          </cell>
        </row>
        <row r="151">
          <cell r="C151">
            <v>285.67</v>
          </cell>
          <cell r="D151">
            <v>0</v>
          </cell>
          <cell r="E151">
            <v>272.75</v>
          </cell>
          <cell r="L151">
            <v>78.900000000000006</v>
          </cell>
          <cell r="M151">
            <v>63.849999999999994</v>
          </cell>
          <cell r="N151">
            <v>50</v>
          </cell>
          <cell r="O151">
            <v>80</v>
          </cell>
        </row>
        <row r="152">
          <cell r="C152">
            <v>161.19999999999999</v>
          </cell>
        </row>
        <row r="153">
          <cell r="C153">
            <v>39.59999999999998</v>
          </cell>
          <cell r="D153">
            <v>45</v>
          </cell>
          <cell r="E153">
            <v>163.29999999999853</v>
          </cell>
          <cell r="L153">
            <v>40</v>
          </cell>
          <cell r="M153">
            <v>40</v>
          </cell>
          <cell r="N153">
            <v>40</v>
          </cell>
          <cell r="O153">
            <v>50</v>
          </cell>
        </row>
        <row r="154">
          <cell r="D154">
            <v>11261.255549952499</v>
          </cell>
          <cell r="L154">
            <v>5572.9051404799993</v>
          </cell>
          <cell r="M154">
            <v>548.5957186666667</v>
          </cell>
          <cell r="N154">
            <v>5306.8037840119996</v>
          </cell>
          <cell r="O154">
            <v>638.87910783333336</v>
          </cell>
        </row>
        <row r="155">
          <cell r="C155">
            <v>11766.1</v>
          </cell>
          <cell r="D155">
            <v>10167.73065</v>
          </cell>
          <cell r="E155">
            <v>7298.5764250000002</v>
          </cell>
          <cell r="J155">
            <v>35.509799999999998</v>
          </cell>
          <cell r="L155">
            <v>4971.8194234799994</v>
          </cell>
          <cell r="N155">
            <v>4710.2663100119998</v>
          </cell>
        </row>
        <row r="156">
          <cell r="C156">
            <v>113.1</v>
          </cell>
          <cell r="D156">
            <v>438.9</v>
          </cell>
          <cell r="E156">
            <v>429.875</v>
          </cell>
          <cell r="N156">
            <v>171.95000000000002</v>
          </cell>
          <cell r="O156">
            <v>257.92500000000001</v>
          </cell>
        </row>
        <row r="157">
          <cell r="C157">
            <v>773.82299999999998</v>
          </cell>
          <cell r="D157">
            <v>654.62489995250019</v>
          </cell>
          <cell r="E157">
            <v>2381.0399758333333</v>
          </cell>
          <cell r="L157">
            <v>601.08571700000005</v>
          </cell>
          <cell r="M157">
            <v>548.5957186666667</v>
          </cell>
          <cell r="N157">
            <v>424.58747400000004</v>
          </cell>
          <cell r="O157">
            <v>380.9541078333333</v>
          </cell>
        </row>
        <row r="159">
          <cell r="C159">
            <v>17</v>
          </cell>
          <cell r="D159">
            <v>89.916007500000006</v>
          </cell>
          <cell r="E159">
            <v>100.78242499999999</v>
          </cell>
          <cell r="L159">
            <v>29.960512199999997</v>
          </cell>
          <cell r="M159">
            <v>29.960512199999997</v>
          </cell>
          <cell r="N159">
            <v>30.859327565999997</v>
          </cell>
          <cell r="O159">
            <v>31.322217479489993</v>
          </cell>
        </row>
        <row r="160">
          <cell r="C160">
            <v>56317.5</v>
          </cell>
          <cell r="D160">
            <v>19.781521650000002</v>
          </cell>
          <cell r="E160">
            <v>21.8601335</v>
          </cell>
          <cell r="L160">
            <v>6.5913126839999991</v>
          </cell>
          <cell r="M160">
            <v>6.5913126839999991</v>
          </cell>
          <cell r="N160">
            <v>6.7890520645199999</v>
          </cell>
          <cell r="O160">
            <v>6.8908878454877982</v>
          </cell>
        </row>
        <row r="161">
          <cell r="C161">
            <v>191.4</v>
          </cell>
          <cell r="D161">
            <v>0</v>
          </cell>
          <cell r="E161">
            <v>0</v>
          </cell>
        </row>
        <row r="162">
          <cell r="C162">
            <v>107.8</v>
          </cell>
          <cell r="D162">
            <v>58</v>
          </cell>
          <cell r="E162">
            <v>49.8</v>
          </cell>
          <cell r="L162">
            <v>7.9</v>
          </cell>
          <cell r="M162">
            <v>19.899999999999999</v>
          </cell>
          <cell r="N162">
            <v>10</v>
          </cell>
          <cell r="O162">
            <v>12</v>
          </cell>
        </row>
        <row r="163">
          <cell r="C163">
            <v>249.70000000000002</v>
          </cell>
          <cell r="D163">
            <v>8</v>
          </cell>
          <cell r="E163">
            <v>275.89999999999998</v>
          </cell>
          <cell r="L163">
            <v>77</v>
          </cell>
          <cell r="M163">
            <v>77</v>
          </cell>
          <cell r="N163">
            <v>77</v>
          </cell>
          <cell r="O163">
            <v>77</v>
          </cell>
        </row>
        <row r="164">
          <cell r="C164">
            <v>16.8</v>
          </cell>
          <cell r="D164">
            <v>260.00584279539595</v>
          </cell>
          <cell r="E164">
            <v>301.60427424523573</v>
          </cell>
          <cell r="L164">
            <v>96.176649716551594</v>
          </cell>
          <cell r="M164">
            <v>96.764016463805419</v>
          </cell>
          <cell r="N164">
            <v>97.354022882348787</v>
          </cell>
          <cell r="O164">
            <v>101.4669495438396</v>
          </cell>
        </row>
        <row r="165">
          <cell r="C165">
            <v>17.100000000000001</v>
          </cell>
          <cell r="D165">
            <v>70</v>
          </cell>
          <cell r="E165">
            <v>37.9</v>
          </cell>
          <cell r="L165">
            <v>20</v>
          </cell>
          <cell r="M165">
            <v>10</v>
          </cell>
          <cell r="O165">
            <v>15</v>
          </cell>
        </row>
        <row r="166">
          <cell r="C166">
            <v>17.100000000000001</v>
          </cell>
          <cell r="D166">
            <v>16</v>
          </cell>
          <cell r="E166">
            <v>32.700000000000003</v>
          </cell>
          <cell r="L166">
            <v>11.025</v>
          </cell>
          <cell r="M166">
            <v>6.4050000000000002</v>
          </cell>
          <cell r="N166">
            <v>6.4050000000000002</v>
          </cell>
          <cell r="O166">
            <v>10.5</v>
          </cell>
        </row>
        <row r="167">
          <cell r="C167">
            <v>4.95</v>
          </cell>
          <cell r="D167">
            <v>70</v>
          </cell>
          <cell r="E167">
            <v>69.099999999999994</v>
          </cell>
          <cell r="L167">
            <v>15.9</v>
          </cell>
          <cell r="M167">
            <v>20</v>
          </cell>
          <cell r="N167">
            <v>15</v>
          </cell>
          <cell r="O167">
            <v>20</v>
          </cell>
        </row>
        <row r="168">
          <cell r="C168">
            <v>117.4</v>
          </cell>
          <cell r="D168">
            <v>124.8</v>
          </cell>
          <cell r="E168">
            <v>108.6</v>
          </cell>
          <cell r="L168">
            <v>24.86</v>
          </cell>
          <cell r="M168">
            <v>34.1</v>
          </cell>
          <cell r="N168">
            <v>27.500000000000004</v>
          </cell>
          <cell r="O168">
            <v>33</v>
          </cell>
        </row>
        <row r="170">
          <cell r="E170">
            <v>18485.475937466636</v>
          </cell>
          <cell r="L170">
            <v>5894.7146837709524</v>
          </cell>
          <cell r="M170">
            <v>5930.7146837709524</v>
          </cell>
          <cell r="N170">
            <v>5966.876470536833</v>
          </cell>
          <cell r="O170">
            <v>6218.9597907212601</v>
          </cell>
        </row>
        <row r="171">
          <cell r="D171">
            <v>1564.3546719999997</v>
          </cell>
          <cell r="E171">
            <v>1643.1534166637009</v>
          </cell>
          <cell r="L171">
            <v>523.97463855741807</v>
          </cell>
          <cell r="M171">
            <v>527.17463855741801</v>
          </cell>
          <cell r="N171">
            <v>530.38901960327405</v>
          </cell>
          <cell r="O171">
            <v>552.7964258418898</v>
          </cell>
        </row>
        <row r="173">
          <cell r="E173">
            <v>543.63300000000004</v>
          </cell>
          <cell r="L173">
            <v>135.911</v>
          </cell>
          <cell r="M173">
            <v>135.911</v>
          </cell>
          <cell r="N173">
            <v>135.911</v>
          </cell>
          <cell r="O173">
            <v>135.911</v>
          </cell>
        </row>
        <row r="174">
          <cell r="E174">
            <v>1213.7254533439914</v>
          </cell>
          <cell r="L174">
            <v>700.68706130118903</v>
          </cell>
          <cell r="M174">
            <v>142.23527771323538</v>
          </cell>
          <cell r="N174">
            <v>58.364251381610117</v>
          </cell>
          <cell r="O174">
            <v>491.09340960396543</v>
          </cell>
        </row>
        <row r="175">
          <cell r="E175">
            <v>9.6140000000000008</v>
          </cell>
          <cell r="L175">
            <v>7.7</v>
          </cell>
          <cell r="M175">
            <v>3.3</v>
          </cell>
          <cell r="N175">
            <v>3.3</v>
          </cell>
          <cell r="O175">
            <v>7</v>
          </cell>
        </row>
        <row r="178">
          <cell r="C178">
            <v>8670</v>
          </cell>
          <cell r="D178">
            <v>8436.9903904536113</v>
          </cell>
          <cell r="E178">
            <v>6644.1456296928363</v>
          </cell>
          <cell r="K178">
            <v>46625.699462820296</v>
          </cell>
          <cell r="L178">
            <v>19801.800708865419</v>
          </cell>
          <cell r="M178">
            <v>6909.5982493124511</v>
          </cell>
          <cell r="N178">
            <v>4852.4066160855873</v>
          </cell>
          <cell r="O178">
            <v>15061.89388855684</v>
          </cell>
        </row>
        <row r="179">
          <cell r="D179">
            <v>25730.56599518963</v>
          </cell>
          <cell r="E179">
            <v>30267.774535267366</v>
          </cell>
          <cell r="K179">
            <v>212405.96421951486</v>
          </cell>
          <cell r="L179">
            <v>29528.966666666674</v>
          </cell>
          <cell r="M179">
            <v>31477.058691312279</v>
          </cell>
          <cell r="N179">
            <v>22105.407917723234</v>
          </cell>
          <cell r="O179">
            <v>68615.294381203392</v>
          </cell>
        </row>
        <row r="186">
          <cell r="K186">
            <v>8446.5339999999997</v>
          </cell>
        </row>
        <row r="187">
          <cell r="K187">
            <v>880</v>
          </cell>
        </row>
        <row r="195">
          <cell r="D195">
            <v>97772.166999999987</v>
          </cell>
          <cell r="E195">
            <v>102697.08854148131</v>
          </cell>
          <cell r="L195">
            <v>32748.414909838626</v>
          </cell>
          <cell r="M195">
            <v>32948.414909838626</v>
          </cell>
          <cell r="N195">
            <v>33149.313725204629</v>
          </cell>
          <cell r="O195">
            <v>34549.776615118113</v>
          </cell>
        </row>
        <row r="196">
          <cell r="D196">
            <v>21509.876739999996</v>
          </cell>
          <cell r="E196">
            <v>23399.902282675066</v>
          </cell>
          <cell r="L196">
            <v>7156.1464301644974</v>
          </cell>
          <cell r="M196">
            <v>7198.1464301644974</v>
          </cell>
          <cell r="N196">
            <v>7242.3441695450174</v>
          </cell>
          <cell r="O196">
            <v>7548.4460053259854</v>
          </cell>
        </row>
        <row r="200">
          <cell r="C200">
            <v>7585.0000000000018</v>
          </cell>
          <cell r="D200">
            <v>5719.6353000000008</v>
          </cell>
          <cell r="E200">
            <v>5805.3194166666663</v>
          </cell>
          <cell r="L200">
            <v>1505.0325</v>
          </cell>
          <cell r="M200">
            <v>1492.8525</v>
          </cell>
          <cell r="N200">
            <v>1376.5775000000001</v>
          </cell>
          <cell r="O200">
            <v>2008.7791666666667</v>
          </cell>
        </row>
        <row r="201">
          <cell r="C201">
            <v>255729.80000000002</v>
          </cell>
          <cell r="D201">
            <v>282391.15787084051</v>
          </cell>
          <cell r="E201">
            <v>528821.1804576572</v>
          </cell>
          <cell r="L201">
            <v>302353.34346193582</v>
          </cell>
          <cell r="M201">
            <v>62752.274931260486</v>
          </cell>
          <cell r="N201">
            <v>42372.036190437968</v>
          </cell>
          <cell r="O201">
            <v>226208.70701721931</v>
          </cell>
        </row>
        <row r="202">
          <cell r="D202">
            <v>25498</v>
          </cell>
          <cell r="E202">
            <v>26311</v>
          </cell>
          <cell r="K202">
            <v>28913.599999999999</v>
          </cell>
          <cell r="L202">
            <v>7228.4</v>
          </cell>
          <cell r="M202">
            <v>7228.4</v>
          </cell>
          <cell r="N202">
            <v>7228.4</v>
          </cell>
          <cell r="O202">
            <v>7228.4</v>
          </cell>
        </row>
        <row r="205">
          <cell r="E205">
            <v>66473.409121367033</v>
          </cell>
          <cell r="L205">
            <v>26392.537755234538</v>
          </cell>
          <cell r="M205">
            <v>12982.529082544252</v>
          </cell>
          <cell r="N205">
            <v>12896.841680427018</v>
          </cell>
          <cell r="O205">
            <v>25594.433682197232</v>
          </cell>
        </row>
        <row r="206">
          <cell r="D206">
            <v>566025.43609595555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П-звед показ"/>
      <sheetName val="1.Фін рез"/>
      <sheetName val="2. Розр з бюдж"/>
      <sheetName val="3. Рух грош кошт"/>
      <sheetName val="4. Кап. інвес"/>
      <sheetName val="5. Інш інфор"/>
      <sheetName val="5. Інш інфор2"/>
      <sheetName val="Розшиф"/>
      <sheetName val="Лист2"/>
      <sheetName val="Бюдж2019"/>
      <sheetName val="Показн"/>
      <sheetName val="план-факт"/>
      <sheetName val="Факт"/>
      <sheetName val="До поясн"/>
    </sheetNames>
    <sheetDataSet>
      <sheetData sheetId="0" refreshError="1"/>
      <sheetData sheetId="1">
        <row r="172">
          <cell r="F172">
            <v>97772.167000000001</v>
          </cell>
        </row>
      </sheetData>
      <sheetData sheetId="2">
        <row r="10">
          <cell r="F10">
            <v>25189.751350283856</v>
          </cell>
        </row>
        <row r="22">
          <cell r="F22">
            <v>17204.429454290723</v>
          </cell>
        </row>
        <row r="33">
          <cell r="F33">
            <v>545.72805000000005</v>
          </cell>
        </row>
        <row r="34">
          <cell r="F34">
            <v>1260.1030000000003</v>
          </cell>
        </row>
        <row r="38">
          <cell r="F38">
            <v>21509.876740000003</v>
          </cell>
        </row>
      </sheetData>
      <sheetData sheetId="3" refreshError="1"/>
      <sheetData sheetId="4">
        <row r="7">
          <cell r="F7">
            <v>87894.454509999996</v>
          </cell>
        </row>
        <row r="8">
          <cell r="F8">
            <v>0</v>
          </cell>
        </row>
        <row r="11">
          <cell r="F11">
            <v>5810.3545100000001</v>
          </cell>
        </row>
        <row r="14">
          <cell r="F14">
            <v>400</v>
          </cell>
        </row>
        <row r="16">
          <cell r="F16">
            <v>81684.099999999991</v>
          </cell>
        </row>
      </sheetData>
      <sheetData sheetId="5">
        <row r="42">
          <cell r="J42">
            <v>464983.48258234462</v>
          </cell>
          <cell r="K42">
            <v>360.2</v>
          </cell>
        </row>
        <row r="43">
          <cell r="J43">
            <v>80363.738389150123</v>
          </cell>
          <cell r="K43">
            <v>440.9</v>
          </cell>
        </row>
        <row r="44">
          <cell r="J44">
            <v>7271.7963224000005</v>
          </cell>
        </row>
      </sheetData>
      <sheetData sheetId="6">
        <row r="7">
          <cell r="J7">
            <v>35814</v>
          </cell>
        </row>
        <row r="20">
          <cell r="J20">
            <v>3576.28</v>
          </cell>
        </row>
        <row r="21">
          <cell r="J21">
            <v>3390.08</v>
          </cell>
        </row>
        <row r="22">
          <cell r="O22">
            <v>39400</v>
          </cell>
        </row>
        <row r="30">
          <cell r="O30">
            <v>6470.1</v>
          </cell>
        </row>
        <row r="32">
          <cell r="O32">
            <v>1310.3545099999999</v>
          </cell>
        </row>
      </sheetData>
      <sheetData sheetId="7">
        <row r="6">
          <cell r="K6">
            <v>552619.01729389466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П-звед показ"/>
      <sheetName val="1.Фін рез"/>
      <sheetName val="2. Розр з бюдж"/>
      <sheetName val="3. Рух грош кошт"/>
      <sheetName val="4. Кап. інвес"/>
      <sheetName val="5. Інша інформація"/>
      <sheetName val="5. Інша інформація 7п"/>
      <sheetName val="Коефіц"/>
      <sheetName val="Розшиф"/>
      <sheetName val="Лист1"/>
      <sheetName val="До пояснення"/>
      <sheetName val="719-703"/>
      <sheetName val="90"/>
      <sheetName val="91"/>
      <sheetName val="92"/>
      <sheetName val="збут"/>
      <sheetName val="97"/>
      <sheetName val="903-949"/>
    </sheetNames>
    <sheetDataSet>
      <sheetData sheetId="0" refreshError="1"/>
      <sheetData sheetId="1" refreshError="1"/>
      <sheetData sheetId="2">
        <row r="10">
          <cell r="D10">
            <v>42767</v>
          </cell>
        </row>
        <row r="31">
          <cell r="D31">
            <v>7773.27</v>
          </cell>
        </row>
        <row r="33">
          <cell r="D33">
            <v>510.50000000000006</v>
          </cell>
        </row>
        <row r="34">
          <cell r="D34">
            <v>1151.7</v>
          </cell>
        </row>
        <row r="35">
          <cell r="D35">
            <v>11</v>
          </cell>
        </row>
      </sheetData>
      <sheetData sheetId="3" refreshError="1"/>
      <sheetData sheetId="4">
        <row r="8">
          <cell r="D8">
            <v>25423.910406000003</v>
          </cell>
        </row>
        <row r="10">
          <cell r="D10">
            <v>9351.3656560000018</v>
          </cell>
        </row>
        <row r="14">
          <cell r="D14">
            <v>14764.87059</v>
          </cell>
        </row>
      </sheetData>
      <sheetData sheetId="5">
        <row r="40">
          <cell r="E40">
            <v>311.34647000000001</v>
          </cell>
        </row>
        <row r="41">
          <cell r="E41">
            <v>352.4</v>
          </cell>
        </row>
      </sheetData>
      <sheetData sheetId="6">
        <row r="33">
          <cell r="N33">
            <v>1307.6741600000003</v>
          </cell>
        </row>
      </sheetData>
      <sheetData sheetId="7" refreshError="1"/>
      <sheetData sheetId="8">
        <row r="7">
          <cell r="J7">
            <v>421343.01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ват ньютон АВТО"/>
      <sheetName val="ПУМБ котли,пальник"/>
      <sheetName val="Укргазбанк"/>
      <sheetName val="2021 Котли та ін.обл."/>
      <sheetName val="свод"/>
    </sheetNames>
    <sheetDataSet>
      <sheetData sheetId="0"/>
      <sheetData sheetId="1"/>
      <sheetData sheetId="2"/>
      <sheetData sheetId="3"/>
      <sheetData sheetId="4">
        <row r="24">
          <cell r="E24">
            <v>550561.18533333333</v>
          </cell>
          <cell r="J24">
            <v>8794541.9300000016</v>
          </cell>
          <cell r="L24">
            <v>1388004.8</v>
          </cell>
          <cell r="N24">
            <v>1394906.76</v>
          </cell>
          <cell r="P24">
            <v>1157749.72</v>
          </cell>
          <cell r="R24">
            <v>1158592.3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L235"/>
  <sheetViews>
    <sheetView tabSelected="1" zoomScale="70" zoomScaleNormal="70" zoomScaleSheetLayoutView="75" workbookViewId="0">
      <selection activeCell="A16" sqref="A16"/>
    </sheetView>
  </sheetViews>
  <sheetFormatPr defaultRowHeight="19.5"/>
  <cols>
    <col min="1" max="1" width="69.28515625" style="125" customWidth="1"/>
    <col min="2" max="2" width="9.7109375" style="169" customWidth="1"/>
    <col min="3" max="5" width="18" style="155" customWidth="1"/>
    <col min="6" max="9" width="16.7109375" style="125" customWidth="1"/>
    <col min="10" max="10" width="16.85546875" style="125" customWidth="1"/>
    <col min="11" max="11" width="27.5703125" style="125" customWidth="1"/>
    <col min="12" max="12" width="24.7109375" style="125" customWidth="1"/>
    <col min="13" max="13" width="29" style="125" customWidth="1"/>
    <col min="14" max="15" width="11.42578125" style="125" customWidth="1"/>
    <col min="16" max="16384" width="9.140625" style="125"/>
  </cols>
  <sheetData>
    <row r="1" spans="1:10" ht="20.100000000000001" customHeight="1">
      <c r="B1" s="158"/>
      <c r="C1" s="125"/>
      <c r="D1" s="125"/>
      <c r="E1" s="125"/>
    </row>
    <row r="2" spans="1:10">
      <c r="A2" s="406" t="s">
        <v>472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>
      <c r="A3" s="406" t="s">
        <v>473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>
      <c r="A4" s="406" t="s">
        <v>474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0" ht="14.25" customHeight="1">
      <c r="A5" s="292"/>
      <c r="B5" s="159"/>
      <c r="C5" s="292"/>
      <c r="D5" s="292"/>
      <c r="E5" s="292"/>
      <c r="F5" s="292"/>
      <c r="G5" s="292"/>
      <c r="H5" s="292"/>
      <c r="I5" s="292"/>
      <c r="J5" s="292"/>
    </row>
    <row r="6" spans="1:10" ht="21.75" customHeight="1">
      <c r="A6" s="406" t="s">
        <v>76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0" ht="12" customHeight="1">
      <c r="B7" s="160"/>
      <c r="C7" s="127"/>
      <c r="D7" s="127"/>
      <c r="E7" s="127"/>
      <c r="F7" s="126"/>
      <c r="G7" s="126"/>
      <c r="H7" s="126"/>
      <c r="I7" s="126"/>
      <c r="J7" s="126"/>
    </row>
    <row r="8" spans="1:10" ht="31.5" customHeight="1">
      <c r="A8" s="407" t="s">
        <v>91</v>
      </c>
      <c r="B8" s="408" t="s">
        <v>7</v>
      </c>
      <c r="C8" s="410" t="s">
        <v>481</v>
      </c>
      <c r="D8" s="410" t="s">
        <v>366</v>
      </c>
      <c r="E8" s="410" t="s">
        <v>480</v>
      </c>
      <c r="F8" s="409" t="s">
        <v>565</v>
      </c>
      <c r="G8" s="409" t="s">
        <v>109</v>
      </c>
      <c r="H8" s="409"/>
      <c r="I8" s="409"/>
      <c r="J8" s="409"/>
    </row>
    <row r="9" spans="1:10" ht="54.75" customHeight="1">
      <c r="A9" s="407"/>
      <c r="B9" s="408"/>
      <c r="C9" s="411"/>
      <c r="D9" s="412"/>
      <c r="E9" s="412"/>
      <c r="F9" s="409"/>
      <c r="G9" s="128" t="s">
        <v>72</v>
      </c>
      <c r="H9" s="128" t="s">
        <v>73</v>
      </c>
      <c r="I9" s="128" t="s">
        <v>74</v>
      </c>
      <c r="J9" s="128" t="s">
        <v>39</v>
      </c>
    </row>
    <row r="10" spans="1:10" ht="20.100000000000001" customHeight="1">
      <c r="A10" s="293">
        <v>1</v>
      </c>
      <c r="B10" s="294">
        <v>2</v>
      </c>
      <c r="C10" s="295">
        <v>3</v>
      </c>
      <c r="D10" s="295">
        <v>4</v>
      </c>
      <c r="E10" s="295">
        <v>5</v>
      </c>
      <c r="F10" s="295">
        <v>6</v>
      </c>
      <c r="G10" s="295">
        <v>7</v>
      </c>
      <c r="H10" s="295">
        <v>8</v>
      </c>
      <c r="I10" s="295">
        <v>9</v>
      </c>
      <c r="J10" s="295">
        <v>10</v>
      </c>
    </row>
    <row r="11" spans="1:10" ht="24.95" customHeight="1">
      <c r="A11" s="399" t="s">
        <v>50</v>
      </c>
      <c r="B11" s="399"/>
      <c r="C11" s="399"/>
      <c r="D11" s="399"/>
      <c r="E11" s="399"/>
      <c r="F11" s="399"/>
      <c r="G11" s="399"/>
      <c r="H11" s="399"/>
      <c r="I11" s="399"/>
      <c r="J11" s="399"/>
    </row>
    <row r="12" spans="1:10" ht="33.75" customHeight="1">
      <c r="A12" s="129" t="s">
        <v>77</v>
      </c>
      <c r="B12" s="66">
        <v>1000</v>
      </c>
      <c r="C12" s="130">
        <f>I.Розшифрування!C7</f>
        <v>482735.95999999996</v>
      </c>
      <c r="D12" s="130">
        <f>I.Розшифрування!D7</f>
        <v>552619.01729389466</v>
      </c>
      <c r="E12" s="130">
        <f>I.Розшифрування!E7</f>
        <v>698003.9007679373</v>
      </c>
      <c r="F12" s="130">
        <f>I.Розшифрування!F7</f>
        <v>963424.58108305279</v>
      </c>
      <c r="G12" s="130">
        <f>I.Розшифрування!G7</f>
        <v>438566.91851943836</v>
      </c>
      <c r="H12" s="130">
        <f>I.Розшифрування!H7</f>
        <v>109392.90636349018</v>
      </c>
      <c r="I12" s="130">
        <f>I.Розшифрування!I7</f>
        <v>82560.689234991427</v>
      </c>
      <c r="J12" s="130">
        <f>I.Розшифрування!J7</f>
        <v>332904.06696513284</v>
      </c>
    </row>
    <row r="13" spans="1:10" ht="33.75" customHeight="1">
      <c r="A13" s="129" t="s">
        <v>69</v>
      </c>
      <c r="B13" s="66">
        <v>1010</v>
      </c>
      <c r="C13" s="130">
        <f>I.Розшифрування!C8</f>
        <v>382582</v>
      </c>
      <c r="D13" s="130">
        <f>I.Розшифрування!D8</f>
        <v>498175.46769584052</v>
      </c>
      <c r="E13" s="130">
        <f>I.Розшифрування!E8</f>
        <v>670563.00998916174</v>
      </c>
      <c r="F13" s="130">
        <f>I.Розшифрування!F8</f>
        <v>813311.71000872494</v>
      </c>
      <c r="G13" s="130">
        <f>I.Розшифрування!G8</f>
        <v>353531.73984357383</v>
      </c>
      <c r="H13" s="130">
        <f>I.Розшифрування!H8</f>
        <v>100990.2216402083</v>
      </c>
      <c r="I13" s="130">
        <f>I.Розшифрування!I8</f>
        <v>80378.154652015059</v>
      </c>
      <c r="J13" s="130">
        <f>I.Розшифрування!J8</f>
        <v>278411.59387292783</v>
      </c>
    </row>
    <row r="14" spans="1:10" ht="37.5" customHeight="1">
      <c r="A14" s="131" t="s">
        <v>94</v>
      </c>
      <c r="B14" s="161">
        <v>1020</v>
      </c>
      <c r="C14" s="132">
        <f>I.Розшифрування!C36</f>
        <v>100153.95999999996</v>
      </c>
      <c r="D14" s="132">
        <f>I.Розшифрування!D36</f>
        <v>54443.549598054145</v>
      </c>
      <c r="E14" s="132">
        <f>I.Розшифрування!E36</f>
        <v>27440.89077877556</v>
      </c>
      <c r="F14" s="132">
        <f>I.Розшифрування!F36</f>
        <v>150112.87107432785</v>
      </c>
      <c r="G14" s="132">
        <f>I.Розшифрування!G36</f>
        <v>85035.178675864532</v>
      </c>
      <c r="H14" s="132">
        <f>I.Розшифрування!H36</f>
        <v>8402.6847232818836</v>
      </c>
      <c r="I14" s="132">
        <f>I.Розшифрування!I36</f>
        <v>2182.5345829763683</v>
      </c>
      <c r="J14" s="132">
        <f>I.Розшифрування!J36</f>
        <v>54492.473092205008</v>
      </c>
    </row>
    <row r="15" spans="1:10" ht="37.5" customHeight="1">
      <c r="A15" s="133" t="s">
        <v>115</v>
      </c>
      <c r="B15" s="162">
        <v>1170</v>
      </c>
      <c r="C15" s="134">
        <f>I.Розшифрування!C147</f>
        <v>41952.03632786886</v>
      </c>
      <c r="D15" s="134">
        <f>I.Розшифрування!D147</f>
        <v>34167.606385643114</v>
      </c>
      <c r="E15" s="134">
        <f>I.Розшифрування!E147</f>
        <v>36911.920164960306</v>
      </c>
      <c r="F15" s="134">
        <f>I.Розшифрування!F147</f>
        <v>259031.66368233497</v>
      </c>
      <c r="G15" s="134">
        <f>I.Розшифрування!G147</f>
        <v>110010.00393814128</v>
      </c>
      <c r="H15" s="134">
        <f>I.Розшифрування!H147</f>
        <v>38386.656940624707</v>
      </c>
      <c r="I15" s="134">
        <f>I.Розшифрування!I147</f>
        <v>26957.814533808803</v>
      </c>
      <c r="J15" s="134">
        <f>I.Розшифрування!J147</f>
        <v>83677.188269760169</v>
      </c>
    </row>
    <row r="16" spans="1:10" ht="35.25" customHeight="1">
      <c r="A16" s="133" t="s">
        <v>107</v>
      </c>
      <c r="B16" s="162">
        <v>1200</v>
      </c>
      <c r="C16" s="134">
        <f>I.Розшифрування!C150</f>
        <v>33282.03632786886</v>
      </c>
      <c r="D16" s="134">
        <f>I.Розшифрування!D150</f>
        <v>25730.615995189502</v>
      </c>
      <c r="E16" s="134">
        <f>I.Розшифрування!E150</f>
        <v>30267.774535267468</v>
      </c>
      <c r="F16" s="134">
        <f>I.Розшифрування!F150</f>
        <v>212405.96421951469</v>
      </c>
      <c r="G16" s="134">
        <f>I.Розшифрування!G150</f>
        <v>90208.203229275852</v>
      </c>
      <c r="H16" s="134">
        <f>I.Розшифрування!H150</f>
        <v>31477.058691312257</v>
      </c>
      <c r="I16" s="134">
        <f>I.Розшифрування!I150</f>
        <v>22105.407917723216</v>
      </c>
      <c r="J16" s="134">
        <f>I.Розшифрування!J150</f>
        <v>68615.294381203334</v>
      </c>
    </row>
    <row r="17" spans="1:10" ht="34.5" customHeight="1">
      <c r="A17" s="400" t="s">
        <v>110</v>
      </c>
      <c r="B17" s="400"/>
      <c r="C17" s="400"/>
      <c r="D17" s="400"/>
      <c r="E17" s="400"/>
      <c r="F17" s="400"/>
      <c r="G17" s="400"/>
      <c r="H17" s="400"/>
      <c r="I17" s="400"/>
      <c r="J17" s="400"/>
    </row>
    <row r="18" spans="1:10" ht="20.100000000000001" customHeight="1">
      <c r="A18" s="135" t="s">
        <v>65</v>
      </c>
      <c r="B18" s="66">
        <v>2111</v>
      </c>
      <c r="C18" s="130">
        <f>'II. Розрахунки з бюджетом'!C20</f>
        <v>0</v>
      </c>
      <c r="D18" s="130">
        <f>'II. Розрахунки з бюджетом'!D20</f>
        <v>8437</v>
      </c>
      <c r="E18" s="130">
        <f>'II. Розрахунки з бюджетом'!E20</f>
        <v>6644.1456296928363</v>
      </c>
      <c r="F18" s="130">
        <f>'II. Розрахунки з бюджетом'!F20</f>
        <v>46625.699462820296</v>
      </c>
      <c r="G18" s="130">
        <f>'II. Розрахунки з бюджетом'!G20</f>
        <v>19801.800708865419</v>
      </c>
      <c r="H18" s="130">
        <f>'II. Розрахунки з бюджетом'!H20</f>
        <v>6909.5982493124511</v>
      </c>
      <c r="I18" s="130">
        <f>'II. Розрахунки з бюджетом'!I20</f>
        <v>4852.4066160855873</v>
      </c>
      <c r="J18" s="130">
        <f>'II. Розрахунки з бюджетом'!J20</f>
        <v>15061.89388855684</v>
      </c>
    </row>
    <row r="19" spans="1:10" ht="40.5" customHeight="1">
      <c r="A19" s="135" t="s">
        <v>111</v>
      </c>
      <c r="B19" s="66">
        <v>2112</v>
      </c>
      <c r="C19" s="136">
        <f>'II. Розрахунки з бюджетом'!C21</f>
        <v>34666</v>
      </c>
      <c r="D19" s="136">
        <f>'II. Розрахунки з бюджетом'!D21</f>
        <v>17204.429454290723</v>
      </c>
      <c r="E19" s="136">
        <f>'II. Розрахунки з бюджетом'!E21</f>
        <v>23250.045416161396</v>
      </c>
      <c r="F19" s="130">
        <f>'II. Розрахунки з бюджетом'!F21</f>
        <v>21746.450879482854</v>
      </c>
      <c r="G19" s="130">
        <f>'II. Розрахунки з бюджетом'!G21</f>
        <v>13092.942014148846</v>
      </c>
      <c r="H19" s="130">
        <f>'II. Розрахунки з бюджетом'!H21</f>
        <v>1649.3765065704054</v>
      </c>
      <c r="I19" s="130">
        <f>'II. Розрахунки з бюджетом'!I21</f>
        <v>443.62398973459199</v>
      </c>
      <c r="J19" s="130">
        <f>'II. Розрахунки з бюджетом'!J21</f>
        <v>6560.5083690290121</v>
      </c>
    </row>
    <row r="20" spans="1:10" ht="39" customHeight="1">
      <c r="A20" s="135" t="s">
        <v>112</v>
      </c>
      <c r="B20" s="163">
        <v>2113</v>
      </c>
      <c r="C20" s="331">
        <f>'II. Розрахунки з бюджетом'!C22</f>
        <v>0</v>
      </c>
      <c r="D20" s="331">
        <f>'II. Розрахунки з бюджетом'!D22</f>
        <v>0</v>
      </c>
      <c r="E20" s="331">
        <f>'II. Розрахунки з бюджетом'!E22</f>
        <v>0</v>
      </c>
      <c r="F20" s="332">
        <f>'II. Розрахунки з бюджетом'!F22</f>
        <v>0</v>
      </c>
      <c r="G20" s="130">
        <f>'II. Розрахунки з бюджетом'!G22</f>
        <v>0</v>
      </c>
      <c r="H20" s="130">
        <f>'II. Розрахунки з бюджетом'!H22</f>
        <v>0</v>
      </c>
      <c r="I20" s="130">
        <f>'II. Розрахунки з бюджетом'!I22</f>
        <v>0</v>
      </c>
      <c r="J20" s="130">
        <f>'II. Розрахунки з бюджетом'!J22</f>
        <v>0</v>
      </c>
    </row>
    <row r="21" spans="1:10" ht="28.5" customHeight="1">
      <c r="A21" s="137" t="s">
        <v>181</v>
      </c>
      <c r="B21" s="66">
        <v>2120</v>
      </c>
      <c r="C21" s="138">
        <f>'II. Розрахунки з бюджетом'!C26</f>
        <v>2966.2</v>
      </c>
      <c r="D21" s="138">
        <f>'II. Розрахунки з бюджетом'!D26</f>
        <v>3372.7857220000001</v>
      </c>
      <c r="E21" s="138">
        <f>'II. Розрахунки з бюджетом'!E26</f>
        <v>3410.1258700076924</v>
      </c>
      <c r="F21" s="130">
        <f>'II. Розрахунки з бюджетом'!F26</f>
        <v>4091.6587225599997</v>
      </c>
      <c r="G21" s="130">
        <f>'II. Розрахунки з бюджетом'!G26</f>
        <v>1368.2726998586072</v>
      </c>
      <c r="H21" s="130">
        <f>'II. Розрахунки з бюджетом'!H26</f>
        <v>808.62091627065342</v>
      </c>
      <c r="I21" s="130">
        <f>'II. Розрахунки з бюджетом'!I26</f>
        <v>727.96427098488425</v>
      </c>
      <c r="J21" s="130">
        <f>'II. Розрахунки з бюджетом'!J26</f>
        <v>1186.8008354458552</v>
      </c>
    </row>
    <row r="22" spans="1:10" ht="39" customHeight="1">
      <c r="A22" s="137" t="s">
        <v>46</v>
      </c>
      <c r="B22" s="66">
        <v>2132</v>
      </c>
      <c r="C22" s="130">
        <f>'II. Розрахунки з бюджетом'!C35</f>
        <v>17457</v>
      </c>
      <c r="D22" s="130">
        <f>'II. Розрахунки з бюджетом'!D35</f>
        <v>21509.876740000003</v>
      </c>
      <c r="E22" s="130">
        <f>'II. Розрахунки з бюджетом'!E35</f>
        <v>23399.902282675066</v>
      </c>
      <c r="F22" s="130">
        <f>'II. Розрахунки з бюджетом'!F35</f>
        <v>29145.083035199998</v>
      </c>
      <c r="G22" s="130">
        <f>'II. Розрахунки з бюджетом'!G35</f>
        <v>7156.1464301644974</v>
      </c>
      <c r="H22" s="130">
        <f>'II. Розрахунки з бюджетом'!H35</f>
        <v>7198.1464301644974</v>
      </c>
      <c r="I22" s="130">
        <f>'II. Розрахунки з бюджетом'!I35</f>
        <v>7242.3441695450174</v>
      </c>
      <c r="J22" s="130">
        <f>'II. Розрахунки з бюджетом'!J35</f>
        <v>7548.4460053259854</v>
      </c>
    </row>
    <row r="23" spans="1:10" ht="27" customHeight="1">
      <c r="A23" s="139" t="s">
        <v>92</v>
      </c>
      <c r="B23" s="161">
        <v>2200</v>
      </c>
      <c r="C23" s="132">
        <f>'II. Розрахунки з бюджетом'!C40</f>
        <v>78274.17</v>
      </c>
      <c r="D23" s="132">
        <f>'II. Розрахунки з бюджетом'!D40</f>
        <v>67634.191916290729</v>
      </c>
      <c r="E23" s="132">
        <f>'II. Розрахунки з бюджетом'!E40</f>
        <v>75189.695136003633</v>
      </c>
      <c r="F23" s="132">
        <f>'II. Розрахунки з бюджетом'!F40</f>
        <v>125620.15772886315</v>
      </c>
      <c r="G23" s="132">
        <f>'II. Розрахунки з бюджетом'!G40</f>
        <v>47313.876536808319</v>
      </c>
      <c r="H23" s="132">
        <f>'II. Розрахунки з бюджетом'!H40</f>
        <v>22496.456786088958</v>
      </c>
      <c r="I23" s="132">
        <f>'II. Розрахунки з бюджетом'!I40</f>
        <v>19233.215516886914</v>
      </c>
      <c r="J23" s="132">
        <f>'II. Розрахунки з бюджетом'!J40</f>
        <v>36576.608889078954</v>
      </c>
    </row>
    <row r="24" spans="1:10" ht="24.95" customHeight="1">
      <c r="A24" s="396" t="s">
        <v>113</v>
      </c>
      <c r="B24" s="397"/>
      <c r="C24" s="397"/>
      <c r="D24" s="397"/>
      <c r="E24" s="397"/>
      <c r="F24" s="397"/>
      <c r="G24" s="397"/>
      <c r="H24" s="397"/>
      <c r="I24" s="397"/>
      <c r="J24" s="398"/>
    </row>
    <row r="25" spans="1:10" ht="27.75" customHeight="1">
      <c r="A25" s="139" t="s">
        <v>79</v>
      </c>
      <c r="B25" s="161">
        <f>'IV. Кап. інвестиції'!B9</f>
        <v>4000</v>
      </c>
      <c r="C25" s="132">
        <f>'IV. Кап. інвестиції'!C9</f>
        <v>25423.910406000003</v>
      </c>
      <c r="D25" s="132">
        <f>'IV. Кап. інвестиції'!D9</f>
        <v>87894.454509999981</v>
      </c>
      <c r="E25" s="132">
        <f>'IV. Кап. інвестиції'!E9</f>
        <v>59124.999600000003</v>
      </c>
      <c r="F25" s="132">
        <f>'IV. Кап. інвестиції'!F9</f>
        <v>66149.147652</v>
      </c>
      <c r="G25" s="132">
        <f>'IV. Кап. інвестиції'!G9</f>
        <v>23612.598964536766</v>
      </c>
      <c r="H25" s="132">
        <f>'IV. Кап. інвестиції'!H9</f>
        <v>11827.728575291052</v>
      </c>
      <c r="I25" s="132">
        <f>'IV. Кап. інвестиції'!I9</f>
        <v>11119.787155145932</v>
      </c>
      <c r="J25" s="132">
        <f>'IV. Кап. інвестиції'!J9</f>
        <v>19589.032957026251</v>
      </c>
    </row>
    <row r="26" spans="1:10" s="140" customFormat="1" ht="33.75" customHeight="1">
      <c r="A26" s="392" t="s">
        <v>114</v>
      </c>
      <c r="B26" s="392"/>
      <c r="C26" s="392"/>
      <c r="D26" s="392"/>
      <c r="E26" s="392"/>
      <c r="F26" s="392"/>
      <c r="G26" s="392"/>
      <c r="H26" s="392"/>
      <c r="I26" s="392"/>
      <c r="J26" s="392"/>
    </row>
    <row r="27" spans="1:10" s="140" customFormat="1" ht="77.25" customHeight="1">
      <c r="A27" s="141" t="s">
        <v>475</v>
      </c>
      <c r="B27" s="164">
        <v>5010</v>
      </c>
      <c r="C27" s="143">
        <f>' V. Коефіцієнтний аналіз'!D9</f>
        <v>6.8944597224264922E-2</v>
      </c>
      <c r="D27" s="143">
        <f>' V. Коефіцієнтний аналіз'!E9</f>
        <v>4.65612206420059E-2</v>
      </c>
      <c r="E27" s="143">
        <f>' V. Коефіцієнтний аналіз'!F9</f>
        <v>4.3363331497097868E-2</v>
      </c>
      <c r="F27" s="143">
        <f>' V. Коефіцієнтний аналіз'!G9</f>
        <v>0.22046973721672569</v>
      </c>
      <c r="G27" s="142" t="s">
        <v>15</v>
      </c>
      <c r="H27" s="142" t="s">
        <v>15</v>
      </c>
      <c r="I27" s="142" t="s">
        <v>15</v>
      </c>
      <c r="J27" s="142" t="s">
        <v>15</v>
      </c>
    </row>
    <row r="28" spans="1:10" ht="55.5" customHeight="1">
      <c r="A28" s="333" t="s">
        <v>566</v>
      </c>
      <c r="B28" s="66">
        <v>5020</v>
      </c>
      <c r="C28" s="144">
        <f>' V. Коефіцієнтний аналіз'!D10</f>
        <v>5.6868941731472777E-2</v>
      </c>
      <c r="D28" s="144">
        <f>' V. Коефіцієнтний аналіз'!E10</f>
        <v>6.4379773927516815E-2</v>
      </c>
      <c r="E28" s="144">
        <f>' V. Коефіцієнтний аналіз'!F10</f>
        <v>7.1330721676574116E-2</v>
      </c>
      <c r="F28" s="144">
        <f>' V. Коефіцієнтний аналіз'!G10</f>
        <v>6.6732370525851945E-2</v>
      </c>
      <c r="G28" s="145" t="s">
        <v>15</v>
      </c>
      <c r="H28" s="145" t="s">
        <v>15</v>
      </c>
      <c r="I28" s="145" t="s">
        <v>15</v>
      </c>
      <c r="J28" s="145" t="s">
        <v>15</v>
      </c>
    </row>
    <row r="29" spans="1:10" s="148" customFormat="1" ht="57" customHeight="1">
      <c r="A29" s="146" t="s">
        <v>476</v>
      </c>
      <c r="B29" s="66">
        <v>5030</v>
      </c>
      <c r="C29" s="147">
        <f>' V. Коефіцієнтний аналіз'!D11</f>
        <v>0.35065096484084562</v>
      </c>
      <c r="D29" s="147">
        <f>' V. Коефіцієнтний аналіз'!E11</f>
        <v>0.21271972804073944</v>
      </c>
      <c r="E29" s="147">
        <f>' V. Коефіцієнтний аналіз'!F11</f>
        <v>0.24146119837164823</v>
      </c>
      <c r="F29" s="147">
        <f>' V. Коефіцієнтний аналіз'!G11</f>
        <v>9.2330347105405108E-2</v>
      </c>
      <c r="G29" s="293" t="s">
        <v>15</v>
      </c>
      <c r="H29" s="293" t="s">
        <v>15</v>
      </c>
      <c r="I29" s="293" t="s">
        <v>15</v>
      </c>
      <c r="J29" s="293" t="s">
        <v>15</v>
      </c>
    </row>
    <row r="30" spans="1:10" ht="59.25" customHeight="1">
      <c r="A30" s="146" t="s">
        <v>477</v>
      </c>
      <c r="B30" s="66">
        <v>5040</v>
      </c>
      <c r="C30" s="147">
        <f>' V. Коефіцієнтний аналіз'!D12</f>
        <v>0.57218384152590396</v>
      </c>
      <c r="D30" s="147">
        <f>' V. Коефіцієнтний аналіз'!E12</f>
        <v>1.1114269247494992</v>
      </c>
      <c r="E30" s="147">
        <f>' V. Коефіцієнтний аналіз'!F12</f>
        <v>0.97913219500375415</v>
      </c>
      <c r="F30" s="147">
        <f>' V. Коефіцієнтний аналіз'!G12</f>
        <v>3.1355523628444462</v>
      </c>
      <c r="G30" s="293" t="s">
        <v>15</v>
      </c>
      <c r="H30" s="293" t="s">
        <v>15</v>
      </c>
      <c r="I30" s="293" t="s">
        <v>15</v>
      </c>
      <c r="J30" s="293" t="s">
        <v>15</v>
      </c>
    </row>
    <row r="31" spans="1:10" ht="58.5">
      <c r="A31" s="139" t="s">
        <v>478</v>
      </c>
      <c r="B31" s="66">
        <v>5050</v>
      </c>
      <c r="C31" s="147">
        <f>' V. Коефіцієнтний аналіз'!D13</f>
        <v>0.51250665137709284</v>
      </c>
      <c r="D31" s="147">
        <f>' V. Коефіцієнтний аналіз'!E13</f>
        <v>0.3893400034937653</v>
      </c>
      <c r="E31" s="147">
        <f>' V. Коефіцієнтний аналіз'!F13</f>
        <v>0.40843623131320139</v>
      </c>
      <c r="F31" s="147">
        <f>' V. Коефіцієнтний аналіз'!G13</f>
        <v>0.31676602160103617</v>
      </c>
      <c r="G31" s="293" t="s">
        <v>15</v>
      </c>
      <c r="H31" s="293" t="s">
        <v>15</v>
      </c>
      <c r="I31" s="293" t="s">
        <v>15</v>
      </c>
      <c r="J31" s="293" t="s">
        <v>15</v>
      </c>
    </row>
    <row r="32" spans="1:10" ht="39" customHeight="1">
      <c r="A32" s="392" t="s">
        <v>116</v>
      </c>
      <c r="B32" s="392"/>
      <c r="C32" s="392"/>
      <c r="D32" s="392"/>
      <c r="E32" s="392"/>
      <c r="F32" s="392"/>
      <c r="G32" s="392"/>
      <c r="H32" s="392"/>
      <c r="I32" s="392"/>
      <c r="J32" s="392"/>
    </row>
    <row r="33" spans="1:11" ht="23.25" customHeight="1">
      <c r="A33" s="149" t="s">
        <v>117</v>
      </c>
      <c r="B33" s="165">
        <v>6000</v>
      </c>
      <c r="C33" s="241">
        <v>258982</v>
      </c>
      <c r="D33" s="241">
        <f>10181+10994+1440+D37</f>
        <v>269789.58449240652</v>
      </c>
      <c r="E33" s="241">
        <f t="shared" ref="E33" si="0">10181+10994+1440+E37</f>
        <v>244601.34272021946</v>
      </c>
      <c r="F33" s="241">
        <f>10181+10994+1440+F37</f>
        <v>260677.00437700609</v>
      </c>
      <c r="G33" s="150" t="s">
        <v>15</v>
      </c>
      <c r="H33" s="150" t="s">
        <v>15</v>
      </c>
      <c r="I33" s="150" t="s">
        <v>15</v>
      </c>
      <c r="J33" s="150" t="s">
        <v>15</v>
      </c>
      <c r="K33" s="243"/>
    </row>
    <row r="34" spans="1:11" ht="24.75" customHeight="1">
      <c r="A34" s="242" t="s">
        <v>118</v>
      </c>
      <c r="B34" s="165">
        <v>6001</v>
      </c>
      <c r="C34" s="241">
        <f>C35-C36</f>
        <v>236367</v>
      </c>
      <c r="D34" s="241">
        <f t="shared" ref="D34:F34" si="1">D35-D36</f>
        <v>349759.45450999995</v>
      </c>
      <c r="E34" s="241">
        <f>E35-E36</f>
        <v>321802.99959999998</v>
      </c>
      <c r="F34" s="241">
        <f t="shared" si="1"/>
        <v>416865.74725199991</v>
      </c>
      <c r="G34" s="150" t="s">
        <v>15</v>
      </c>
      <c r="H34" s="150" t="s">
        <v>15</v>
      </c>
      <c r="I34" s="150" t="s">
        <v>15</v>
      </c>
      <c r="J34" s="150" t="s">
        <v>15</v>
      </c>
    </row>
    <row r="35" spans="1:11" ht="24" customHeight="1">
      <c r="A35" s="242" t="s">
        <v>119</v>
      </c>
      <c r="B35" s="165">
        <v>6002</v>
      </c>
      <c r="C35" s="241">
        <v>484862</v>
      </c>
      <c r="D35" s="241">
        <f>C35+'IV. Кап. інвестиції'!D9</f>
        <v>572756.45450999995</v>
      </c>
      <c r="E35" s="241">
        <f>C35+'IV. Кап. інвестиції'!E9</f>
        <v>543986.99959999998</v>
      </c>
      <c r="F35" s="241">
        <f>E35+'IV. Кап. інвестиції'!F9</f>
        <v>610136.14725199994</v>
      </c>
      <c r="G35" s="150" t="s">
        <v>15</v>
      </c>
      <c r="H35" s="150" t="s">
        <v>15</v>
      </c>
      <c r="I35" s="150" t="s">
        <v>15</v>
      </c>
      <c r="J35" s="150" t="s">
        <v>15</v>
      </c>
    </row>
    <row r="36" spans="1:11" ht="21.75" customHeight="1">
      <c r="A36" s="242" t="s">
        <v>120</v>
      </c>
      <c r="B36" s="165">
        <v>6003</v>
      </c>
      <c r="C36" s="241">
        <v>248495</v>
      </c>
      <c r="D36" s="241">
        <f>C36-[37]Розшиф!D202</f>
        <v>222997</v>
      </c>
      <c r="E36" s="241">
        <f>C36-[37]Розшиф!E202</f>
        <v>222184</v>
      </c>
      <c r="F36" s="241">
        <f>E36-[37]Розшиф!K202</f>
        <v>193270.39999999999</v>
      </c>
      <c r="G36" s="150" t="s">
        <v>15</v>
      </c>
      <c r="H36" s="150" t="s">
        <v>15</v>
      </c>
      <c r="I36" s="150" t="s">
        <v>15</v>
      </c>
      <c r="J36" s="150" t="s">
        <v>15</v>
      </c>
    </row>
    <row r="37" spans="1:11" ht="21.75" customHeight="1">
      <c r="A37" s="149" t="s">
        <v>121</v>
      </c>
      <c r="B37" s="165">
        <v>6010</v>
      </c>
      <c r="C37" s="241">
        <v>326251</v>
      </c>
      <c r="D37" s="241">
        <f>24000+D38+D39+D40</f>
        <v>247174.58449240652</v>
      </c>
      <c r="E37" s="241">
        <f>24500+E38+E39+E40</f>
        <v>221986.34272021946</v>
      </c>
      <c r="F37" s="241">
        <f>24500+F38+F39+F40</f>
        <v>238062.00437700609</v>
      </c>
      <c r="G37" s="150" t="s">
        <v>15</v>
      </c>
      <c r="H37" s="150" t="s">
        <v>15</v>
      </c>
      <c r="I37" s="150" t="s">
        <v>15</v>
      </c>
      <c r="J37" s="150" t="s">
        <v>15</v>
      </c>
    </row>
    <row r="38" spans="1:11" ht="39" customHeight="1">
      <c r="A38" s="242" t="s">
        <v>122</v>
      </c>
      <c r="B38" s="165">
        <v>6011</v>
      </c>
      <c r="C38" s="241">
        <v>212496</v>
      </c>
      <c r="D38" s="241">
        <f>C38*0.9</f>
        <v>191246.4</v>
      </c>
      <c r="E38" s="241">
        <f>D38</f>
        <v>191246.4</v>
      </c>
      <c r="F38" s="241">
        <f>E38*0.9</f>
        <v>172121.76</v>
      </c>
      <c r="G38" s="150" t="s">
        <v>15</v>
      </c>
      <c r="H38" s="150" t="s">
        <v>15</v>
      </c>
      <c r="I38" s="150" t="s">
        <v>15</v>
      </c>
      <c r="J38" s="150" t="s">
        <v>15</v>
      </c>
    </row>
    <row r="39" spans="1:11" ht="35.25" customHeight="1">
      <c r="A39" s="242" t="s">
        <v>123</v>
      </c>
      <c r="B39" s="165">
        <v>6012</v>
      </c>
      <c r="C39" s="241">
        <v>768</v>
      </c>
      <c r="D39" s="241">
        <v>0</v>
      </c>
      <c r="E39" s="241">
        <f>C39</f>
        <v>768</v>
      </c>
      <c r="F39" s="241">
        <f>C39</f>
        <v>768</v>
      </c>
      <c r="G39" s="150" t="s">
        <v>15</v>
      </c>
      <c r="H39" s="150" t="s">
        <v>15</v>
      </c>
      <c r="I39" s="150" t="s">
        <v>15</v>
      </c>
      <c r="J39" s="150" t="s">
        <v>15</v>
      </c>
    </row>
    <row r="40" spans="1:11" ht="21.75" customHeight="1">
      <c r="A40" s="242" t="s">
        <v>124</v>
      </c>
      <c r="B40" s="165">
        <v>6013</v>
      </c>
      <c r="C40" s="241">
        <v>51573</v>
      </c>
      <c r="D40" s="241">
        <f>'III. Рух грошових коштів'!D88</f>
        <v>31928.184492406515</v>
      </c>
      <c r="E40" s="241">
        <f>'III. Рух грошових коштів'!E88</f>
        <v>5471.9427202194493</v>
      </c>
      <c r="F40" s="241">
        <f>'III. Рух грошових коштів'!F88</f>
        <v>40672.244377006064</v>
      </c>
      <c r="G40" s="150" t="s">
        <v>15</v>
      </c>
      <c r="H40" s="150" t="s">
        <v>15</v>
      </c>
      <c r="I40" s="150" t="s">
        <v>15</v>
      </c>
      <c r="J40" s="150" t="s">
        <v>15</v>
      </c>
    </row>
    <row r="41" spans="1:11" ht="30.75" customHeight="1">
      <c r="A41" s="151" t="s">
        <v>125</v>
      </c>
      <c r="B41" s="166">
        <v>6020</v>
      </c>
      <c r="C41" s="241">
        <v>585241</v>
      </c>
      <c r="D41" s="241">
        <f>D33+D37</f>
        <v>516964.16898481303</v>
      </c>
      <c r="E41" s="241">
        <f t="shared" ref="E41:F41" si="2">E33+E37</f>
        <v>466587.68544043892</v>
      </c>
      <c r="F41" s="241">
        <f t="shared" si="2"/>
        <v>498739.00875401217</v>
      </c>
      <c r="G41" s="152" t="s">
        <v>15</v>
      </c>
      <c r="H41" s="152" t="s">
        <v>15</v>
      </c>
      <c r="I41" s="152" t="s">
        <v>15</v>
      </c>
      <c r="J41" s="152" t="s">
        <v>15</v>
      </c>
    </row>
    <row r="42" spans="1:11" ht="24.75" customHeight="1">
      <c r="A42" s="149" t="s">
        <v>126</v>
      </c>
      <c r="B42" s="165">
        <v>6030</v>
      </c>
      <c r="C42" s="241">
        <v>165882</v>
      </c>
      <c r="D42" s="241">
        <f>C42-391.09662*32.1*2</f>
        <v>140773.59699600001</v>
      </c>
      <c r="E42" s="241">
        <f>D42</f>
        <v>140773.59699600001</v>
      </c>
      <c r="F42" s="241">
        <f>E42-391.09662*33*2</f>
        <v>114961.22007600001</v>
      </c>
      <c r="G42" s="150" t="s">
        <v>15</v>
      </c>
      <c r="H42" s="150" t="s">
        <v>15</v>
      </c>
      <c r="I42" s="150" t="s">
        <v>15</v>
      </c>
      <c r="J42" s="150" t="s">
        <v>15</v>
      </c>
    </row>
    <row r="43" spans="1:11" ht="27.75" customHeight="1">
      <c r="A43" s="149" t="s">
        <v>127</v>
      </c>
      <c r="B43" s="165">
        <v>6040</v>
      </c>
      <c r="C43" s="241">
        <f>C44+C45</f>
        <v>204321</v>
      </c>
      <c r="D43" s="241">
        <f t="shared" ref="D43:F43" si="3">D44+D45</f>
        <v>261008</v>
      </c>
      <c r="E43" s="241">
        <f t="shared" si="3"/>
        <v>196728.4</v>
      </c>
      <c r="F43" s="241">
        <f t="shared" si="3"/>
        <v>177621.76000000001</v>
      </c>
      <c r="G43" s="150" t="s">
        <v>15</v>
      </c>
      <c r="H43" s="150" t="s">
        <v>15</v>
      </c>
      <c r="I43" s="150" t="s">
        <v>15</v>
      </c>
      <c r="J43" s="150" t="s">
        <v>15</v>
      </c>
    </row>
    <row r="44" spans="1:11" ht="39" customHeight="1">
      <c r="A44" s="242" t="s">
        <v>128</v>
      </c>
      <c r="B44" s="165">
        <v>6041</v>
      </c>
      <c r="C44" s="241">
        <v>198839</v>
      </c>
      <c r="D44" s="241">
        <f>255526</f>
        <v>255526</v>
      </c>
      <c r="E44" s="241">
        <f>E38</f>
        <v>191246.4</v>
      </c>
      <c r="F44" s="241">
        <f>F38</f>
        <v>172121.76</v>
      </c>
      <c r="G44" s="150" t="s">
        <v>15</v>
      </c>
      <c r="H44" s="150" t="s">
        <v>15</v>
      </c>
      <c r="I44" s="150" t="s">
        <v>15</v>
      </c>
      <c r="J44" s="150" t="s">
        <v>15</v>
      </c>
    </row>
    <row r="45" spans="1:11" ht="39" customHeight="1">
      <c r="A45" s="242" t="s">
        <v>129</v>
      </c>
      <c r="B45" s="165">
        <v>6042</v>
      </c>
      <c r="C45" s="241">
        <v>5482</v>
      </c>
      <c r="D45" s="241">
        <f>C45</f>
        <v>5482</v>
      </c>
      <c r="E45" s="241">
        <f>D45</f>
        <v>5482</v>
      </c>
      <c r="F45" s="241">
        <v>5500</v>
      </c>
      <c r="G45" s="150" t="s">
        <v>15</v>
      </c>
      <c r="H45" s="150" t="s">
        <v>15</v>
      </c>
      <c r="I45" s="150" t="s">
        <v>15</v>
      </c>
      <c r="J45" s="150" t="s">
        <v>15</v>
      </c>
    </row>
    <row r="46" spans="1:11" ht="30.75" customHeight="1">
      <c r="A46" s="153" t="s">
        <v>130</v>
      </c>
      <c r="B46" s="167">
        <v>6050</v>
      </c>
      <c r="C46" s="241">
        <f>C42+C43</f>
        <v>370203</v>
      </c>
      <c r="D46" s="241">
        <f t="shared" ref="D46:F46" si="4">D42+D43</f>
        <v>401781.59699600004</v>
      </c>
      <c r="E46" s="241">
        <f t="shared" si="4"/>
        <v>337501.996996</v>
      </c>
      <c r="F46" s="241">
        <f t="shared" si="4"/>
        <v>292582.98007600004</v>
      </c>
      <c r="G46" s="150" t="s">
        <v>15</v>
      </c>
      <c r="H46" s="150" t="s">
        <v>15</v>
      </c>
      <c r="I46" s="150" t="s">
        <v>15</v>
      </c>
      <c r="J46" s="150" t="s">
        <v>15</v>
      </c>
    </row>
    <row r="47" spans="1:11" ht="24" customHeight="1">
      <c r="A47" s="242" t="s">
        <v>131</v>
      </c>
      <c r="B47" s="165">
        <v>6060</v>
      </c>
      <c r="C47" s="241"/>
      <c r="D47" s="241"/>
      <c r="E47" s="241"/>
      <c r="F47" s="241"/>
      <c r="G47" s="150" t="s">
        <v>15</v>
      </c>
      <c r="H47" s="150" t="s">
        <v>15</v>
      </c>
      <c r="I47" s="150" t="s">
        <v>15</v>
      </c>
      <c r="J47" s="150" t="s">
        <v>15</v>
      </c>
    </row>
    <row r="48" spans="1:11" ht="26.25" customHeight="1">
      <c r="A48" s="242" t="s">
        <v>132</v>
      </c>
      <c r="B48" s="165">
        <v>6070</v>
      </c>
      <c r="C48" s="241">
        <f>C42</f>
        <v>165882</v>
      </c>
      <c r="D48" s="241">
        <f t="shared" ref="D48:F48" si="5">D42</f>
        <v>140773.59699600001</v>
      </c>
      <c r="E48" s="241">
        <f t="shared" si="5"/>
        <v>140773.59699600001</v>
      </c>
      <c r="F48" s="241">
        <f t="shared" si="5"/>
        <v>114961.22007600001</v>
      </c>
      <c r="G48" s="150" t="s">
        <v>15</v>
      </c>
      <c r="H48" s="150" t="s">
        <v>15</v>
      </c>
      <c r="I48" s="150" t="s">
        <v>15</v>
      </c>
      <c r="J48" s="150" t="s">
        <v>15</v>
      </c>
    </row>
    <row r="49" spans="1:12" ht="30.75" customHeight="1">
      <c r="A49" s="153" t="s">
        <v>133</v>
      </c>
      <c r="B49" s="167">
        <v>6080</v>
      </c>
      <c r="C49" s="241">
        <v>94915</v>
      </c>
      <c r="D49" s="241">
        <f>C49+[37]Розшиф!D179+'III. Рух грошових коштів'!D68</f>
        <v>156459.56599518962</v>
      </c>
      <c r="E49" s="241">
        <f>C49+[37]Розшиф!E179+'III. Рух грошових коштів'!E68</f>
        <v>137835.96102526737</v>
      </c>
      <c r="F49" s="241">
        <f>E49+[37]Розшиф!K179+'III. Рух грошових коштів'!F68</f>
        <v>360466.92524478224</v>
      </c>
      <c r="G49" s="154" t="s">
        <v>15</v>
      </c>
      <c r="H49" s="154" t="s">
        <v>15</v>
      </c>
      <c r="I49" s="154" t="s">
        <v>15</v>
      </c>
      <c r="J49" s="154" t="s">
        <v>15</v>
      </c>
    </row>
    <row r="50" spans="1:12" ht="30.75" customHeight="1">
      <c r="A50" s="393" t="s">
        <v>134</v>
      </c>
      <c r="B50" s="394"/>
      <c r="C50" s="394"/>
      <c r="D50" s="394"/>
      <c r="E50" s="394"/>
      <c r="F50" s="394"/>
      <c r="G50" s="394"/>
      <c r="H50" s="394"/>
      <c r="I50" s="394"/>
      <c r="J50" s="395"/>
    </row>
    <row r="51" spans="1:12" s="140" customFormat="1" ht="22.5" customHeight="1">
      <c r="A51" s="153" t="s">
        <v>135</v>
      </c>
      <c r="B51" s="167">
        <v>7000</v>
      </c>
      <c r="C51" s="263">
        <f>20667.19+144669.7+1030.888+3054.923+2700</f>
        <v>172122.70100000003</v>
      </c>
      <c r="D51" s="263">
        <f>C60</f>
        <v>197168.024</v>
      </c>
      <c r="E51" s="263">
        <f>C60</f>
        <v>197168.024</v>
      </c>
      <c r="F51" s="334">
        <f>'VI. Інформація до фінплану'!B30</f>
        <v>188026.52555999998</v>
      </c>
      <c r="G51" s="258" t="s">
        <v>15</v>
      </c>
      <c r="H51" s="258" t="s">
        <v>15</v>
      </c>
      <c r="I51" s="258" t="s">
        <v>15</v>
      </c>
      <c r="J51" s="258" t="s">
        <v>15</v>
      </c>
      <c r="K51" s="261"/>
    </row>
    <row r="52" spans="1:12" s="140" customFormat="1" ht="24" customHeight="1">
      <c r="A52" s="153" t="s">
        <v>136</v>
      </c>
      <c r="B52" s="167">
        <v>7010</v>
      </c>
      <c r="C52" s="263">
        <f>C53+C54+C55</f>
        <v>11538.37284</v>
      </c>
      <c r="D52" s="263">
        <f>D53+D54+D55</f>
        <v>12666.36</v>
      </c>
      <c r="E52" s="263">
        <f t="shared" ref="E52" si="6">E53+E54+E55</f>
        <v>24292.1</v>
      </c>
      <c r="F52" s="334">
        <f>'VI. Інформація до фінплану'!E30</f>
        <v>8700</v>
      </c>
      <c r="G52" s="258" t="s">
        <v>15</v>
      </c>
      <c r="H52" s="258" t="s">
        <v>15</v>
      </c>
      <c r="I52" s="258" t="s">
        <v>15</v>
      </c>
      <c r="J52" s="258" t="s">
        <v>15</v>
      </c>
      <c r="L52" s="261"/>
    </row>
    <row r="53" spans="1:12" ht="24" customHeight="1">
      <c r="A53" s="149" t="s">
        <v>137</v>
      </c>
      <c r="B53" s="165">
        <v>7011</v>
      </c>
      <c r="C53" s="264"/>
      <c r="D53" s="264"/>
      <c r="E53" s="264"/>
      <c r="F53" s="335">
        <f>'VI. Інформація до фінплану'!E24</f>
        <v>0</v>
      </c>
      <c r="G53" s="150" t="s">
        <v>15</v>
      </c>
      <c r="H53" s="150" t="s">
        <v>15</v>
      </c>
      <c r="I53" s="150" t="s">
        <v>15</v>
      </c>
      <c r="J53" s="150" t="s">
        <v>15</v>
      </c>
      <c r="L53" s="262"/>
    </row>
    <row r="54" spans="1:12" ht="21.75" customHeight="1">
      <c r="A54" s="149" t="s">
        <v>138</v>
      </c>
      <c r="B54" s="165">
        <v>7012</v>
      </c>
      <c r="C54" s="264">
        <v>3000</v>
      </c>
      <c r="D54" s="264">
        <v>5700</v>
      </c>
      <c r="E54" s="264">
        <v>5700</v>
      </c>
      <c r="F54" s="335">
        <f>'VI. Інформація до фінплану'!E26</f>
        <v>5700</v>
      </c>
      <c r="G54" s="150" t="s">
        <v>15</v>
      </c>
      <c r="H54" s="150" t="s">
        <v>15</v>
      </c>
      <c r="I54" s="150" t="s">
        <v>15</v>
      </c>
      <c r="J54" s="150" t="s">
        <v>15</v>
      </c>
    </row>
    <row r="55" spans="1:12" ht="21" customHeight="1">
      <c r="A55" s="149" t="s">
        <v>537</v>
      </c>
      <c r="B55" s="165">
        <v>7013</v>
      </c>
      <c r="C55" s="264">
        <f>8538.37284</f>
        <v>8538.37284</v>
      </c>
      <c r="D55" s="264">
        <f>'[38]5. Інш інфор2'!$J$20+'[38]5. Інш інфор2'!$J$21</f>
        <v>6966.3600000000006</v>
      </c>
      <c r="E55" s="264">
        <v>18592.099999999999</v>
      </c>
      <c r="F55" s="335">
        <f>'VI. Інформація до фінплану'!E28</f>
        <v>3000</v>
      </c>
      <c r="G55" s="150" t="s">
        <v>15</v>
      </c>
      <c r="H55" s="150" t="s">
        <v>15</v>
      </c>
      <c r="I55" s="150" t="s">
        <v>15</v>
      </c>
      <c r="J55" s="150" t="s">
        <v>15</v>
      </c>
    </row>
    <row r="56" spans="1:12" ht="39">
      <c r="A56" s="153" t="s">
        <v>139</v>
      </c>
      <c r="B56" s="167">
        <v>7030</v>
      </c>
      <c r="C56" s="263">
        <f>C57+C58+C59</f>
        <v>29774.728999999999</v>
      </c>
      <c r="D56" s="263">
        <f>D57+D58+D59</f>
        <v>31649.45451</v>
      </c>
      <c r="E56" s="263">
        <f t="shared" ref="E56" si="7">E57+E58+E59</f>
        <v>33433.641929999998</v>
      </c>
      <c r="F56" s="334">
        <f>F57+F58+F59</f>
        <v>42399.779093752004</v>
      </c>
      <c r="G56" s="150" t="s">
        <v>15</v>
      </c>
      <c r="H56" s="150" t="s">
        <v>15</v>
      </c>
      <c r="I56" s="150" t="s">
        <v>15</v>
      </c>
      <c r="J56" s="150" t="s">
        <v>15</v>
      </c>
      <c r="K56" s="243"/>
    </row>
    <row r="57" spans="1:12" s="155" customFormat="1">
      <c r="A57" s="149" t="s">
        <v>137</v>
      </c>
      <c r="B57" s="165">
        <v>7031</v>
      </c>
      <c r="C57" s="264">
        <f>'III. Рух грошових коштів'!C77-C58</f>
        <v>18407</v>
      </c>
      <c r="D57" s="264">
        <f>'III. Рух грошових коштів'!D77-D58</f>
        <v>24639.1</v>
      </c>
      <c r="E57" s="264">
        <f>'III. Рух грошових коштів'!E77-5700</f>
        <v>24639.1</v>
      </c>
      <c r="F57" s="336">
        <f>'VI. Інформація до фінплану'!F24+'VI. Інформація до фінплану'!G24+'VI. Інформація до фінплану'!I24+'VI. Інформація до фінплану'!J24</f>
        <v>27775.525513751996</v>
      </c>
      <c r="G57" s="150" t="s">
        <v>15</v>
      </c>
      <c r="H57" s="150" t="s">
        <v>15</v>
      </c>
      <c r="I57" s="150" t="s">
        <v>15</v>
      </c>
      <c r="J57" s="150" t="s">
        <v>15</v>
      </c>
    </row>
    <row r="58" spans="1:12" s="155" customFormat="1">
      <c r="A58" s="149" t="s">
        <v>138</v>
      </c>
      <c r="B58" s="165">
        <v>7032</v>
      </c>
      <c r="C58" s="264">
        <v>5700</v>
      </c>
      <c r="D58" s="264">
        <v>5700</v>
      </c>
      <c r="E58" s="264"/>
      <c r="F58" s="336">
        <f>'VI. Інформація до фінплану'!F26+'VI. Інформація до фінплану'!G26+'VI. Інформація до фінплану'!I26+'VI. Інформація до фінплану'!J26</f>
        <v>5700</v>
      </c>
      <c r="G58" s="150" t="s">
        <v>15</v>
      </c>
      <c r="H58" s="150" t="s">
        <v>15</v>
      </c>
      <c r="I58" s="150" t="s">
        <v>15</v>
      </c>
      <c r="J58" s="150" t="s">
        <v>15</v>
      </c>
    </row>
    <row r="59" spans="1:12" s="155" customFormat="1">
      <c r="A59" s="149" t="s">
        <v>537</v>
      </c>
      <c r="B59" s="165">
        <v>7033</v>
      </c>
      <c r="C59" s="264">
        <v>5667.7290000000003</v>
      </c>
      <c r="D59" s="264">
        <f>'III. Рух грошових коштів'!D82</f>
        <v>1310.3545099999999</v>
      </c>
      <c r="E59" s="264">
        <f>'III. Рух грошових коштів'!E82</f>
        <v>8794.5419300000012</v>
      </c>
      <c r="F59" s="336">
        <f>'VI. Інформація до фінплану'!F28+'VI. Інформація до фінплану'!G28+'VI. Інформація до фінплану'!I28+'VI. Інформація до фінплану'!J28</f>
        <v>8924.2535800000005</v>
      </c>
      <c r="G59" s="150" t="s">
        <v>15</v>
      </c>
      <c r="H59" s="150" t="s">
        <v>15</v>
      </c>
      <c r="I59" s="150" t="s">
        <v>15</v>
      </c>
      <c r="J59" s="150" t="s">
        <v>15</v>
      </c>
    </row>
    <row r="60" spans="1:12" s="292" customFormat="1" ht="24" customHeight="1">
      <c r="A60" s="153" t="s">
        <v>140</v>
      </c>
      <c r="B60" s="167">
        <v>7040</v>
      </c>
      <c r="C60" s="263">
        <f>27173.212+163038.358+4112.909+2843.545</f>
        <v>197168.024</v>
      </c>
      <c r="D60" s="263">
        <f>D51+D52-D56</f>
        <v>178184.92949000001</v>
      </c>
      <c r="E60" s="263">
        <f>E51+E52-E56</f>
        <v>188026.48207000003</v>
      </c>
      <c r="F60" s="337">
        <f>'VI. Інформація до фінплану'!K30</f>
        <v>148626.74646624801</v>
      </c>
      <c r="G60" s="259" t="s">
        <v>15</v>
      </c>
      <c r="H60" s="259" t="s">
        <v>15</v>
      </c>
      <c r="I60" s="259" t="s">
        <v>15</v>
      </c>
      <c r="J60" s="259" t="s">
        <v>15</v>
      </c>
      <c r="L60" s="260"/>
    </row>
    <row r="61" spans="1:12" s="155" customFormat="1" ht="30" customHeight="1">
      <c r="A61" s="393" t="s">
        <v>141</v>
      </c>
      <c r="B61" s="394"/>
      <c r="C61" s="394"/>
      <c r="D61" s="394"/>
      <c r="E61" s="394"/>
      <c r="F61" s="394"/>
      <c r="G61" s="394"/>
      <c r="H61" s="394"/>
      <c r="I61" s="394"/>
      <c r="J61" s="395"/>
      <c r="K61" s="257"/>
      <c r="L61" s="257"/>
    </row>
    <row r="62" spans="1:12" s="155" customFormat="1" ht="72" customHeight="1">
      <c r="A62" s="153" t="s">
        <v>479</v>
      </c>
      <c r="B62" s="167">
        <v>8000</v>
      </c>
      <c r="C62" s="282">
        <v>665</v>
      </c>
      <c r="D62" s="282">
        <v>725.5</v>
      </c>
      <c r="E62" s="282">
        <v>725.5</v>
      </c>
      <c r="F62" s="130">
        <v>725.2</v>
      </c>
      <c r="G62" s="130">
        <f t="shared" ref="G62:J62" si="8">SUM(G63:G67)</f>
        <v>725.2</v>
      </c>
      <c r="H62" s="130">
        <f t="shared" si="8"/>
        <v>725.2</v>
      </c>
      <c r="I62" s="130">
        <f t="shared" si="8"/>
        <v>725.2</v>
      </c>
      <c r="J62" s="130">
        <f t="shared" si="8"/>
        <v>725.2</v>
      </c>
    </row>
    <row r="63" spans="1:12" s="155" customFormat="1">
      <c r="A63" s="149" t="s">
        <v>142</v>
      </c>
      <c r="B63" s="165">
        <v>8001</v>
      </c>
      <c r="C63" s="282"/>
      <c r="D63" s="282"/>
      <c r="E63" s="282"/>
      <c r="F63" s="256"/>
      <c r="G63" s="256"/>
      <c r="H63" s="256"/>
      <c r="I63" s="256"/>
      <c r="J63" s="256"/>
    </row>
    <row r="64" spans="1:12" s="155" customFormat="1">
      <c r="A64" s="149" t="s">
        <v>143</v>
      </c>
      <c r="B64" s="165">
        <v>8002</v>
      </c>
      <c r="C64" s="282"/>
      <c r="D64" s="282"/>
      <c r="E64" s="282"/>
      <c r="F64" s="256"/>
      <c r="G64" s="256"/>
      <c r="H64" s="256"/>
      <c r="I64" s="256"/>
      <c r="J64" s="256"/>
    </row>
    <row r="65" spans="1:10" s="155" customFormat="1">
      <c r="A65" s="149" t="s">
        <v>144</v>
      </c>
      <c r="B65" s="165">
        <v>8003</v>
      </c>
      <c r="C65" s="282"/>
      <c r="D65" s="282"/>
      <c r="E65" s="282"/>
      <c r="F65" s="256"/>
      <c r="G65" s="256"/>
      <c r="H65" s="256"/>
      <c r="I65" s="256"/>
      <c r="J65" s="256"/>
    </row>
    <row r="66" spans="1:10" s="155" customFormat="1">
      <c r="A66" s="149" t="s">
        <v>93</v>
      </c>
      <c r="B66" s="165">
        <v>8004</v>
      </c>
      <c r="C66" s="282">
        <v>67</v>
      </c>
      <c r="D66" s="282">
        <v>67</v>
      </c>
      <c r="E66" s="282">
        <v>67</v>
      </c>
      <c r="F66" s="256">
        <v>67</v>
      </c>
      <c r="G66" s="256">
        <f>$F$66</f>
        <v>67</v>
      </c>
      <c r="H66" s="256">
        <f t="shared" ref="H66:J66" si="9">$F$66</f>
        <v>67</v>
      </c>
      <c r="I66" s="256">
        <f t="shared" si="9"/>
        <v>67</v>
      </c>
      <c r="J66" s="256">
        <f t="shared" si="9"/>
        <v>67</v>
      </c>
    </row>
    <row r="67" spans="1:10" s="155" customFormat="1">
      <c r="A67" s="149" t="s">
        <v>90</v>
      </c>
      <c r="B67" s="165">
        <v>8005</v>
      </c>
      <c r="C67" s="256">
        <f>C62-C66</f>
        <v>598</v>
      </c>
      <c r="D67" s="256">
        <f>D62-D66</f>
        <v>658.5</v>
      </c>
      <c r="E67" s="256">
        <f t="shared" ref="E67" si="10">E62-E66</f>
        <v>658.5</v>
      </c>
      <c r="F67" s="256">
        <f>F62-F66</f>
        <v>658.2</v>
      </c>
      <c r="G67" s="256">
        <f>$F$67</f>
        <v>658.2</v>
      </c>
      <c r="H67" s="256">
        <f t="shared" ref="H67:J67" si="11">$F$67</f>
        <v>658.2</v>
      </c>
      <c r="I67" s="256">
        <f t="shared" si="11"/>
        <v>658.2</v>
      </c>
      <c r="J67" s="256">
        <f t="shared" si="11"/>
        <v>658.2</v>
      </c>
    </row>
    <row r="68" spans="1:10" s="155" customFormat="1">
      <c r="A68" s="153" t="s">
        <v>4</v>
      </c>
      <c r="B68" s="167">
        <v>8010</v>
      </c>
      <c r="C68" s="130">
        <f>I.Розшифрування!C158</f>
        <v>85548</v>
      </c>
      <c r="D68" s="130">
        <f>I.Розшифрування!D158</f>
        <v>97772.166999999987</v>
      </c>
      <c r="E68" s="130">
        <f>I.Розшифрування!E158</f>
        <v>102697.08854148131</v>
      </c>
      <c r="F68" s="132">
        <f>I.Розшифрування!F158</f>
        <v>133395.92015999998</v>
      </c>
      <c r="G68" s="255">
        <f>I.Розшифрування!G158</f>
        <v>32748.414909838626</v>
      </c>
      <c r="H68" s="255">
        <f>I.Розшифрування!H158</f>
        <v>32948.414909838626</v>
      </c>
      <c r="I68" s="255">
        <f>I.Розшифрування!I158</f>
        <v>33149.313725204629</v>
      </c>
      <c r="J68" s="255">
        <f>I.Розшифрування!J158</f>
        <v>34549.776615118113</v>
      </c>
    </row>
    <row r="69" spans="1:10" s="155" customFormat="1">
      <c r="A69" s="149" t="s">
        <v>142</v>
      </c>
      <c r="B69" s="165">
        <v>8011</v>
      </c>
      <c r="C69" s="256"/>
      <c r="D69" s="256"/>
      <c r="E69" s="256"/>
      <c r="F69" s="256"/>
      <c r="G69" s="256"/>
      <c r="H69" s="256"/>
      <c r="I69" s="256"/>
      <c r="J69" s="256"/>
    </row>
    <row r="70" spans="1:10" s="155" customFormat="1">
      <c r="A70" s="149" t="s">
        <v>143</v>
      </c>
      <c r="B70" s="165">
        <v>8012</v>
      </c>
      <c r="C70" s="256"/>
      <c r="D70" s="256"/>
      <c r="E70" s="256"/>
      <c r="F70" s="256"/>
      <c r="G70" s="256"/>
      <c r="H70" s="256"/>
      <c r="I70" s="256"/>
      <c r="J70" s="256"/>
    </row>
    <row r="71" spans="1:10" s="155" customFormat="1">
      <c r="A71" s="149" t="s">
        <v>144</v>
      </c>
      <c r="B71" s="165">
        <v>8013</v>
      </c>
      <c r="C71" s="256"/>
      <c r="D71" s="256"/>
      <c r="E71" s="256"/>
      <c r="F71" s="256"/>
      <c r="G71" s="256"/>
      <c r="H71" s="256"/>
      <c r="I71" s="256"/>
      <c r="J71" s="256"/>
    </row>
    <row r="72" spans="1:10" s="155" customFormat="1">
      <c r="A72" s="149" t="s">
        <v>93</v>
      </c>
      <c r="B72" s="165">
        <v>8014</v>
      </c>
      <c r="C72" s="256">
        <f>[37]Розшиф!C75</f>
        <v>12505.104508196722</v>
      </c>
      <c r="D72" s="256">
        <f>[37]Розшиф!D75</f>
        <v>14427.21</v>
      </c>
      <c r="E72" s="256">
        <f>[37]Розшиф!E75</f>
        <v>16138.883087704919</v>
      </c>
      <c r="F72" s="256">
        <f>SUM(G72:J72)</f>
        <v>20201.939999999999</v>
      </c>
      <c r="G72" s="256">
        <f>[37]Розшиф!L75</f>
        <v>4850.4849999999997</v>
      </c>
      <c r="H72" s="256">
        <f>[37]Розшиф!M75</f>
        <v>5050.4849999999997</v>
      </c>
      <c r="I72" s="256">
        <f>[37]Розшиф!N75</f>
        <v>5050.4849999999997</v>
      </c>
      <c r="J72" s="256">
        <f>[37]Розшиф!O75</f>
        <v>5250.4849999999997</v>
      </c>
    </row>
    <row r="73" spans="1:10" s="155" customFormat="1">
      <c r="A73" s="149" t="s">
        <v>90</v>
      </c>
      <c r="B73" s="165">
        <v>8015</v>
      </c>
      <c r="C73" s="256">
        <f>C68-C72</f>
        <v>73042.895491803283</v>
      </c>
      <c r="D73" s="256">
        <f t="shared" ref="D73:E73" si="12">D68-D72</f>
        <v>83344.956999999995</v>
      </c>
      <c r="E73" s="256">
        <f t="shared" si="12"/>
        <v>86558.205453776391</v>
      </c>
      <c r="F73" s="256">
        <f>SUM(G73:J73)</f>
        <v>113193.98015999999</v>
      </c>
      <c r="G73" s="256">
        <f>G68-G72</f>
        <v>27897.929909838625</v>
      </c>
      <c r="H73" s="256">
        <f t="shared" ref="H73:J73" si="13">H68-H72</f>
        <v>27897.929909838625</v>
      </c>
      <c r="I73" s="256">
        <f t="shared" si="13"/>
        <v>28098.828725204628</v>
      </c>
      <c r="J73" s="256">
        <f t="shared" si="13"/>
        <v>29299.291615118113</v>
      </c>
    </row>
    <row r="74" spans="1:10" s="155" customFormat="1" ht="39">
      <c r="A74" s="153" t="s">
        <v>145</v>
      </c>
      <c r="B74" s="167">
        <v>8020</v>
      </c>
      <c r="C74" s="130">
        <f>C68/C62/12*1000</f>
        <v>10720.3007518797</v>
      </c>
      <c r="D74" s="130">
        <f t="shared" ref="D74:J74" si="14">D68/D62/12*1000</f>
        <v>11230.434987365035</v>
      </c>
      <c r="E74" s="130">
        <f t="shared" si="14"/>
        <v>11796.127790200013</v>
      </c>
      <c r="F74" s="130">
        <f t="shared" si="14"/>
        <v>15328.635797021507</v>
      </c>
      <c r="G74" s="130">
        <f t="shared" si="14"/>
        <v>3763.1475121620037</v>
      </c>
      <c r="H74" s="130">
        <f t="shared" si="14"/>
        <v>3786.1296780013126</v>
      </c>
      <c r="I74" s="130">
        <f t="shared" si="14"/>
        <v>3809.2151274596235</v>
      </c>
      <c r="J74" s="130">
        <f t="shared" si="14"/>
        <v>3970.1434793985695</v>
      </c>
    </row>
    <row r="75" spans="1:10" s="155" customFormat="1">
      <c r="A75" s="149" t="s">
        <v>146</v>
      </c>
      <c r="B75" s="165">
        <v>8021</v>
      </c>
      <c r="C75" s="132"/>
      <c r="D75" s="132"/>
      <c r="E75" s="132"/>
      <c r="F75" s="132"/>
      <c r="G75" s="130"/>
      <c r="H75" s="130"/>
      <c r="I75" s="130"/>
      <c r="J75" s="130"/>
    </row>
    <row r="76" spans="1:10" s="155" customFormat="1">
      <c r="A76" s="149" t="s">
        <v>147</v>
      </c>
      <c r="B76" s="165">
        <v>8022</v>
      </c>
      <c r="C76" s="132"/>
      <c r="D76" s="132"/>
      <c r="E76" s="132"/>
      <c r="F76" s="132"/>
      <c r="G76" s="130"/>
      <c r="H76" s="130"/>
      <c r="I76" s="130"/>
      <c r="J76" s="130"/>
    </row>
    <row r="77" spans="1:10" s="155" customFormat="1">
      <c r="A77" s="149" t="s">
        <v>148</v>
      </c>
      <c r="B77" s="165">
        <v>8023</v>
      </c>
      <c r="C77" s="132"/>
      <c r="D77" s="132"/>
      <c r="E77" s="132"/>
      <c r="F77" s="132"/>
      <c r="G77" s="130"/>
      <c r="H77" s="130"/>
      <c r="I77" s="130"/>
      <c r="J77" s="130"/>
    </row>
    <row r="78" spans="1:10" s="155" customFormat="1">
      <c r="A78" s="156" t="s">
        <v>149</v>
      </c>
      <c r="B78" s="168" t="s">
        <v>150</v>
      </c>
      <c r="C78" s="130"/>
      <c r="D78" s="130"/>
      <c r="E78" s="130"/>
      <c r="F78" s="130"/>
      <c r="G78" s="283"/>
      <c r="H78" s="283"/>
      <c r="I78" s="283"/>
      <c r="J78" s="283"/>
    </row>
    <row r="79" spans="1:10" s="155" customFormat="1">
      <c r="A79" s="156" t="s">
        <v>151</v>
      </c>
      <c r="B79" s="168" t="s">
        <v>152</v>
      </c>
      <c r="C79" s="130"/>
      <c r="D79" s="130"/>
      <c r="E79" s="130"/>
      <c r="F79" s="130"/>
      <c r="G79" s="283"/>
      <c r="H79" s="283"/>
      <c r="I79" s="283"/>
      <c r="J79" s="283"/>
    </row>
    <row r="80" spans="1:10" s="155" customFormat="1">
      <c r="A80" s="156" t="s">
        <v>153</v>
      </c>
      <c r="B80" s="168" t="s">
        <v>154</v>
      </c>
      <c r="C80" s="130"/>
      <c r="D80" s="130"/>
      <c r="E80" s="130"/>
      <c r="F80" s="130"/>
      <c r="G80" s="283"/>
      <c r="H80" s="283"/>
      <c r="I80" s="283"/>
      <c r="J80" s="283"/>
    </row>
    <row r="81" spans="1:10" s="155" customFormat="1">
      <c r="A81" s="149" t="s">
        <v>155</v>
      </c>
      <c r="B81" s="165">
        <v>8024</v>
      </c>
      <c r="C81" s="130">
        <f>C72/C66/12*1000</f>
        <v>15553.612572383983</v>
      </c>
      <c r="D81" s="130">
        <f t="shared" ref="D81:J81" si="15">D72/D66/12*1000</f>
        <v>17944.291044776117</v>
      </c>
      <c r="E81" s="130">
        <f t="shared" si="15"/>
        <v>20073.237671274775</v>
      </c>
      <c r="F81" s="130">
        <f>F72/F66/12*1000</f>
        <v>25126.791044776117</v>
      </c>
      <c r="G81" s="130">
        <f t="shared" si="15"/>
        <v>6032.9415422885577</v>
      </c>
      <c r="H81" s="130">
        <f t="shared" si="15"/>
        <v>6281.6977611940292</v>
      </c>
      <c r="I81" s="130">
        <f t="shared" si="15"/>
        <v>6281.6977611940292</v>
      </c>
      <c r="J81" s="130">
        <f t="shared" si="15"/>
        <v>6530.4539800995017</v>
      </c>
    </row>
    <row r="82" spans="1:10" s="155" customFormat="1">
      <c r="A82" s="149" t="s">
        <v>156</v>
      </c>
      <c r="B82" s="165">
        <v>8025</v>
      </c>
      <c r="C82" s="284">
        <f>C73/C67/12*1000</f>
        <v>10178.775848913501</v>
      </c>
      <c r="D82" s="284">
        <f t="shared" ref="D82:F82" si="16">D73/D67/12*1000</f>
        <v>10547.32434826626</v>
      </c>
      <c r="E82" s="284">
        <f t="shared" si="16"/>
        <v>10953.961712702658</v>
      </c>
      <c r="F82" s="284">
        <f t="shared" si="16"/>
        <v>14331.254451534485</v>
      </c>
      <c r="G82" s="284">
        <f>G73/G67/3*1000</f>
        <v>14128.395578769685</v>
      </c>
      <c r="H82" s="284">
        <f t="shared" ref="H82:J82" si="17">H73/H67/3*1000</f>
        <v>14128.395578769685</v>
      </c>
      <c r="I82" s="284">
        <f t="shared" si="17"/>
        <v>14230.137103820838</v>
      </c>
      <c r="J82" s="284">
        <f t="shared" si="17"/>
        <v>14838.089544777733</v>
      </c>
    </row>
    <row r="83" spans="1:10" s="155" customFormat="1">
      <c r="A83" s="157"/>
      <c r="B83" s="169"/>
      <c r="C83" s="257"/>
      <c r="D83" s="257"/>
      <c r="E83" s="257"/>
      <c r="F83" s="257"/>
      <c r="G83" s="257"/>
      <c r="H83" s="257"/>
      <c r="I83" s="257"/>
      <c r="J83" s="257"/>
    </row>
    <row r="84" spans="1:10" s="155" customFormat="1">
      <c r="A84" s="157"/>
      <c r="B84" s="169"/>
      <c r="F84" s="125"/>
      <c r="G84" s="125"/>
      <c r="H84" s="125"/>
      <c r="I84" s="125"/>
      <c r="J84" s="125"/>
    </row>
    <row r="85" spans="1:10" s="325" customFormat="1" ht="20.25">
      <c r="A85" s="322" t="s">
        <v>368</v>
      </c>
      <c r="B85" s="323"/>
      <c r="C85" s="401" t="s">
        <v>52</v>
      </c>
      <c r="D85" s="401"/>
      <c r="E85" s="401"/>
      <c r="F85" s="402"/>
      <c r="G85" s="324"/>
      <c r="H85" s="403" t="s">
        <v>369</v>
      </c>
      <c r="I85" s="403"/>
      <c r="J85" s="403"/>
    </row>
    <row r="86" spans="1:10" s="155" customFormat="1">
      <c r="A86" s="209"/>
      <c r="B86" s="210"/>
      <c r="C86" s="404"/>
      <c r="D86" s="404"/>
      <c r="E86" s="404"/>
      <c r="F86" s="404"/>
      <c r="G86" s="211"/>
      <c r="H86" s="405"/>
      <c r="I86" s="405"/>
      <c r="J86" s="405"/>
    </row>
    <row r="87" spans="1:10" s="155" customFormat="1">
      <c r="A87" s="157"/>
      <c r="B87" s="169"/>
      <c r="F87" s="125"/>
      <c r="G87" s="125"/>
      <c r="H87" s="125"/>
      <c r="I87" s="125"/>
      <c r="J87" s="125"/>
    </row>
    <row r="88" spans="1:10" s="155" customFormat="1">
      <c r="A88" s="157"/>
      <c r="B88" s="169"/>
      <c r="F88" s="125"/>
      <c r="G88" s="125"/>
      <c r="H88" s="125"/>
      <c r="I88" s="125"/>
      <c r="J88" s="125"/>
    </row>
    <row r="89" spans="1:10" s="155" customFormat="1">
      <c r="A89" s="157"/>
      <c r="B89" s="169"/>
      <c r="F89" s="125"/>
      <c r="G89" s="125"/>
      <c r="H89" s="125"/>
      <c r="I89" s="125"/>
      <c r="J89" s="125"/>
    </row>
    <row r="90" spans="1:10" s="155" customFormat="1">
      <c r="A90" s="157"/>
      <c r="B90" s="169"/>
      <c r="F90" s="125"/>
      <c r="G90" s="125"/>
      <c r="H90" s="125"/>
      <c r="I90" s="125"/>
      <c r="J90" s="125"/>
    </row>
    <row r="91" spans="1:10" s="155" customFormat="1">
      <c r="A91" s="157"/>
      <c r="B91" s="169"/>
      <c r="F91" s="125"/>
      <c r="G91" s="125"/>
      <c r="H91" s="125"/>
      <c r="I91" s="125"/>
      <c r="J91" s="125"/>
    </row>
    <row r="92" spans="1:10" s="155" customFormat="1">
      <c r="A92" s="157"/>
      <c r="B92" s="169"/>
      <c r="F92" s="125"/>
      <c r="G92" s="125"/>
      <c r="H92" s="125"/>
      <c r="I92" s="125"/>
      <c r="J92" s="125"/>
    </row>
    <row r="93" spans="1:10" s="155" customFormat="1">
      <c r="A93" s="157"/>
      <c r="B93" s="169"/>
      <c r="F93" s="125"/>
      <c r="G93" s="125"/>
      <c r="H93" s="125"/>
      <c r="I93" s="125"/>
      <c r="J93" s="125"/>
    </row>
    <row r="94" spans="1:10" s="155" customFormat="1">
      <c r="A94" s="157"/>
      <c r="B94" s="169"/>
      <c r="F94" s="125"/>
      <c r="G94" s="125"/>
      <c r="H94" s="125"/>
      <c r="I94" s="125"/>
      <c r="J94" s="125"/>
    </row>
    <row r="95" spans="1:10" s="155" customFormat="1">
      <c r="A95" s="157"/>
      <c r="B95" s="169"/>
      <c r="F95" s="125"/>
      <c r="G95" s="125"/>
      <c r="H95" s="125"/>
      <c r="I95" s="125"/>
      <c r="J95" s="125"/>
    </row>
    <row r="96" spans="1:10" s="155" customFormat="1">
      <c r="A96" s="157"/>
      <c r="B96" s="169"/>
      <c r="F96" s="125"/>
      <c r="G96" s="125"/>
      <c r="H96" s="125"/>
      <c r="I96" s="125"/>
      <c r="J96" s="125"/>
    </row>
    <row r="97" spans="1:10" s="155" customFormat="1">
      <c r="A97" s="157"/>
      <c r="B97" s="169"/>
      <c r="F97" s="125"/>
      <c r="G97" s="125"/>
      <c r="H97" s="125"/>
      <c r="I97" s="125"/>
      <c r="J97" s="125"/>
    </row>
    <row r="98" spans="1:10" s="155" customFormat="1">
      <c r="A98" s="157"/>
      <c r="B98" s="169"/>
      <c r="F98" s="125"/>
      <c r="G98" s="125"/>
      <c r="H98" s="125"/>
      <c r="I98" s="125"/>
      <c r="J98" s="125"/>
    </row>
    <row r="99" spans="1:10" s="155" customFormat="1">
      <c r="A99" s="157"/>
      <c r="B99" s="169"/>
      <c r="F99" s="125"/>
      <c r="G99" s="125"/>
      <c r="H99" s="125"/>
      <c r="I99" s="125"/>
      <c r="J99" s="125"/>
    </row>
    <row r="100" spans="1:10" s="155" customFormat="1">
      <c r="A100" s="157"/>
      <c r="B100" s="169"/>
      <c r="F100" s="125"/>
      <c r="G100" s="125"/>
      <c r="H100" s="125"/>
      <c r="I100" s="125"/>
      <c r="J100" s="125"/>
    </row>
    <row r="101" spans="1:10" s="155" customFormat="1">
      <c r="A101" s="157"/>
      <c r="B101" s="169"/>
      <c r="F101" s="125"/>
      <c r="G101" s="125"/>
      <c r="H101" s="125"/>
      <c r="I101" s="125"/>
      <c r="J101" s="125"/>
    </row>
    <row r="102" spans="1:10" s="155" customFormat="1">
      <c r="A102" s="157"/>
      <c r="B102" s="169"/>
      <c r="F102" s="125"/>
      <c r="G102" s="125"/>
      <c r="H102" s="125"/>
      <c r="I102" s="125"/>
      <c r="J102" s="125"/>
    </row>
    <row r="103" spans="1:10" s="155" customFormat="1">
      <c r="A103" s="157"/>
      <c r="B103" s="169"/>
      <c r="F103" s="125"/>
      <c r="G103" s="125"/>
      <c r="H103" s="125"/>
      <c r="I103" s="125"/>
      <c r="J103" s="125"/>
    </row>
    <row r="104" spans="1:10" s="155" customFormat="1">
      <c r="A104" s="157"/>
      <c r="B104" s="169"/>
      <c r="F104" s="125"/>
      <c r="G104" s="125"/>
      <c r="H104" s="125"/>
      <c r="I104" s="125"/>
      <c r="J104" s="125"/>
    </row>
    <row r="105" spans="1:10" s="155" customFormat="1">
      <c r="A105" s="157"/>
      <c r="B105" s="169"/>
      <c r="F105" s="125"/>
      <c r="G105" s="125"/>
      <c r="H105" s="125"/>
      <c r="I105" s="125"/>
      <c r="J105" s="125"/>
    </row>
    <row r="106" spans="1:10" s="155" customFormat="1">
      <c r="A106" s="157"/>
      <c r="B106" s="169"/>
      <c r="F106" s="125"/>
      <c r="G106" s="125"/>
      <c r="H106" s="125"/>
      <c r="I106" s="125"/>
      <c r="J106" s="125"/>
    </row>
    <row r="107" spans="1:10" s="155" customFormat="1">
      <c r="A107" s="157"/>
      <c r="B107" s="169"/>
      <c r="F107" s="125"/>
      <c r="G107" s="125"/>
      <c r="H107" s="125"/>
      <c r="I107" s="125"/>
      <c r="J107" s="125"/>
    </row>
    <row r="108" spans="1:10" s="155" customFormat="1">
      <c r="A108" s="157"/>
      <c r="B108" s="169"/>
      <c r="F108" s="125"/>
      <c r="G108" s="125"/>
      <c r="H108" s="125"/>
      <c r="I108" s="125"/>
      <c r="J108" s="125"/>
    </row>
    <row r="109" spans="1:10" s="155" customFormat="1">
      <c r="A109" s="157"/>
      <c r="B109" s="169"/>
      <c r="F109" s="125"/>
      <c r="G109" s="125"/>
      <c r="H109" s="125"/>
      <c r="I109" s="125"/>
      <c r="J109" s="125"/>
    </row>
    <row r="110" spans="1:10" s="155" customFormat="1">
      <c r="A110" s="157"/>
      <c r="B110" s="169"/>
      <c r="F110" s="125"/>
      <c r="G110" s="125"/>
      <c r="H110" s="125"/>
      <c r="I110" s="125"/>
      <c r="J110" s="125"/>
    </row>
    <row r="111" spans="1:10" s="155" customFormat="1">
      <c r="A111" s="157"/>
      <c r="B111" s="169"/>
      <c r="F111" s="125"/>
      <c r="G111" s="125"/>
      <c r="H111" s="125"/>
      <c r="I111" s="125"/>
      <c r="J111" s="125"/>
    </row>
    <row r="112" spans="1:10" s="155" customFormat="1">
      <c r="A112" s="157"/>
      <c r="B112" s="169"/>
      <c r="F112" s="125"/>
      <c r="G112" s="125"/>
      <c r="H112" s="125"/>
      <c r="I112" s="125"/>
      <c r="J112" s="125"/>
    </row>
    <row r="113" spans="1:10" s="155" customFormat="1">
      <c r="A113" s="157"/>
      <c r="B113" s="169"/>
      <c r="F113" s="125"/>
      <c r="G113" s="125"/>
      <c r="H113" s="125"/>
      <c r="I113" s="125"/>
      <c r="J113" s="125"/>
    </row>
    <row r="114" spans="1:10" s="155" customFormat="1">
      <c r="A114" s="157"/>
      <c r="B114" s="169"/>
      <c r="F114" s="125"/>
      <c r="G114" s="125"/>
      <c r="H114" s="125"/>
      <c r="I114" s="125"/>
      <c r="J114" s="125"/>
    </row>
    <row r="115" spans="1:10" s="155" customFormat="1">
      <c r="A115" s="157"/>
      <c r="B115" s="169"/>
      <c r="F115" s="125"/>
      <c r="G115" s="125"/>
      <c r="H115" s="125"/>
      <c r="I115" s="125"/>
      <c r="J115" s="125"/>
    </row>
    <row r="116" spans="1:10" s="155" customFormat="1">
      <c r="A116" s="157"/>
      <c r="B116" s="169"/>
      <c r="F116" s="125"/>
      <c r="G116" s="125"/>
      <c r="H116" s="125"/>
      <c r="I116" s="125"/>
      <c r="J116" s="125"/>
    </row>
    <row r="117" spans="1:10" s="155" customFormat="1">
      <c r="A117" s="157"/>
      <c r="B117" s="169"/>
      <c r="F117" s="125"/>
      <c r="G117" s="125"/>
      <c r="H117" s="125"/>
      <c r="I117" s="125"/>
      <c r="J117" s="125"/>
    </row>
    <row r="118" spans="1:10" s="155" customFormat="1">
      <c r="A118" s="157"/>
      <c r="B118" s="169"/>
      <c r="F118" s="125"/>
      <c r="G118" s="125"/>
      <c r="H118" s="125"/>
      <c r="I118" s="125"/>
      <c r="J118" s="125"/>
    </row>
    <row r="119" spans="1:10" s="155" customFormat="1">
      <c r="A119" s="157"/>
      <c r="B119" s="169"/>
      <c r="F119" s="125"/>
      <c r="G119" s="125"/>
      <c r="H119" s="125"/>
      <c r="I119" s="125"/>
      <c r="J119" s="125"/>
    </row>
    <row r="120" spans="1:10" s="155" customFormat="1">
      <c r="A120" s="157"/>
      <c r="B120" s="169"/>
      <c r="F120" s="125"/>
      <c r="G120" s="125"/>
      <c r="H120" s="125"/>
      <c r="I120" s="125"/>
      <c r="J120" s="125"/>
    </row>
    <row r="121" spans="1:10" s="155" customFormat="1">
      <c r="A121" s="157"/>
      <c r="B121" s="169"/>
      <c r="F121" s="125"/>
      <c r="G121" s="125"/>
      <c r="H121" s="125"/>
      <c r="I121" s="125"/>
      <c r="J121" s="125"/>
    </row>
    <row r="122" spans="1:10" s="155" customFormat="1">
      <c r="A122" s="157"/>
      <c r="B122" s="169"/>
      <c r="F122" s="125"/>
      <c r="G122" s="125"/>
      <c r="H122" s="125"/>
      <c r="I122" s="125"/>
      <c r="J122" s="125"/>
    </row>
    <row r="123" spans="1:10" s="155" customFormat="1">
      <c r="A123" s="157"/>
      <c r="B123" s="169"/>
      <c r="F123" s="125"/>
      <c r="G123" s="125"/>
      <c r="H123" s="125"/>
      <c r="I123" s="125"/>
      <c r="J123" s="125"/>
    </row>
    <row r="124" spans="1:10" s="155" customFormat="1">
      <c r="A124" s="157"/>
      <c r="B124" s="169"/>
      <c r="F124" s="125"/>
      <c r="G124" s="125"/>
      <c r="H124" s="125"/>
      <c r="I124" s="125"/>
      <c r="J124" s="125"/>
    </row>
    <row r="125" spans="1:10" s="155" customFormat="1">
      <c r="A125" s="157"/>
      <c r="B125" s="169"/>
      <c r="F125" s="125"/>
      <c r="G125" s="125"/>
      <c r="H125" s="125"/>
      <c r="I125" s="125"/>
      <c r="J125" s="125"/>
    </row>
    <row r="126" spans="1:10" s="155" customFormat="1">
      <c r="A126" s="157"/>
      <c r="B126" s="169"/>
      <c r="F126" s="125"/>
      <c r="G126" s="125"/>
      <c r="H126" s="125"/>
      <c r="I126" s="125"/>
      <c r="J126" s="125"/>
    </row>
    <row r="127" spans="1:10" s="155" customFormat="1">
      <c r="A127" s="157"/>
      <c r="B127" s="169"/>
      <c r="F127" s="125"/>
      <c r="G127" s="125"/>
      <c r="H127" s="125"/>
      <c r="I127" s="125"/>
      <c r="J127" s="125"/>
    </row>
    <row r="128" spans="1:10" s="155" customFormat="1">
      <c r="A128" s="157"/>
      <c r="B128" s="169"/>
      <c r="F128" s="125"/>
      <c r="G128" s="125"/>
      <c r="H128" s="125"/>
      <c r="I128" s="125"/>
      <c r="J128" s="125"/>
    </row>
    <row r="129" spans="1:10" s="155" customFormat="1">
      <c r="A129" s="157"/>
      <c r="B129" s="169"/>
      <c r="F129" s="125"/>
      <c r="G129" s="125"/>
      <c r="H129" s="125"/>
      <c r="I129" s="125"/>
      <c r="J129" s="125"/>
    </row>
    <row r="130" spans="1:10" s="155" customFormat="1">
      <c r="A130" s="157"/>
      <c r="B130" s="169"/>
      <c r="F130" s="125"/>
      <c r="G130" s="125"/>
      <c r="H130" s="125"/>
      <c r="I130" s="125"/>
      <c r="J130" s="125"/>
    </row>
    <row r="131" spans="1:10" s="155" customFormat="1">
      <c r="A131" s="157"/>
      <c r="B131" s="169"/>
      <c r="F131" s="125"/>
      <c r="G131" s="125"/>
      <c r="H131" s="125"/>
      <c r="I131" s="125"/>
      <c r="J131" s="125"/>
    </row>
    <row r="132" spans="1:10" s="155" customFormat="1">
      <c r="A132" s="157"/>
      <c r="B132" s="169"/>
      <c r="F132" s="125"/>
      <c r="G132" s="125"/>
      <c r="H132" s="125"/>
      <c r="I132" s="125"/>
      <c r="J132" s="125"/>
    </row>
    <row r="133" spans="1:10" s="155" customFormat="1">
      <c r="A133" s="157"/>
      <c r="B133" s="169"/>
      <c r="F133" s="125"/>
      <c r="G133" s="125"/>
      <c r="H133" s="125"/>
      <c r="I133" s="125"/>
      <c r="J133" s="125"/>
    </row>
    <row r="134" spans="1:10" s="155" customFormat="1">
      <c r="A134" s="157"/>
      <c r="B134" s="169"/>
      <c r="F134" s="125"/>
      <c r="G134" s="125"/>
      <c r="H134" s="125"/>
      <c r="I134" s="125"/>
      <c r="J134" s="125"/>
    </row>
    <row r="135" spans="1:10" s="155" customFormat="1">
      <c r="A135" s="157"/>
      <c r="B135" s="169"/>
      <c r="F135" s="125"/>
      <c r="G135" s="125"/>
      <c r="H135" s="125"/>
      <c r="I135" s="125"/>
      <c r="J135" s="125"/>
    </row>
    <row r="136" spans="1:10" s="155" customFormat="1">
      <c r="A136" s="157"/>
      <c r="B136" s="169"/>
      <c r="F136" s="125"/>
      <c r="G136" s="125"/>
      <c r="H136" s="125"/>
      <c r="I136" s="125"/>
      <c r="J136" s="125"/>
    </row>
    <row r="137" spans="1:10" s="155" customFormat="1">
      <c r="A137" s="157"/>
      <c r="B137" s="169"/>
      <c r="F137" s="125"/>
      <c r="G137" s="125"/>
      <c r="H137" s="125"/>
      <c r="I137" s="125"/>
      <c r="J137" s="125"/>
    </row>
    <row r="138" spans="1:10" s="155" customFormat="1">
      <c r="A138" s="157"/>
      <c r="B138" s="169"/>
      <c r="F138" s="125"/>
      <c r="G138" s="125"/>
      <c r="H138" s="125"/>
      <c r="I138" s="125"/>
      <c r="J138" s="125"/>
    </row>
    <row r="139" spans="1:10" s="155" customFormat="1">
      <c r="A139" s="157"/>
      <c r="B139" s="169"/>
      <c r="F139" s="125"/>
      <c r="G139" s="125"/>
      <c r="H139" s="125"/>
      <c r="I139" s="125"/>
      <c r="J139" s="125"/>
    </row>
    <row r="140" spans="1:10" s="155" customFormat="1">
      <c r="A140" s="157"/>
      <c r="B140" s="169"/>
      <c r="F140" s="125"/>
      <c r="G140" s="125"/>
      <c r="H140" s="125"/>
      <c r="I140" s="125"/>
      <c r="J140" s="125"/>
    </row>
    <row r="141" spans="1:10" s="155" customFormat="1">
      <c r="A141" s="157"/>
      <c r="B141" s="169"/>
      <c r="F141" s="125"/>
      <c r="G141" s="125"/>
      <c r="H141" s="125"/>
      <c r="I141" s="125"/>
      <c r="J141" s="125"/>
    </row>
    <row r="142" spans="1:10" s="155" customFormat="1">
      <c r="A142" s="157"/>
      <c r="B142" s="169"/>
      <c r="F142" s="125"/>
      <c r="G142" s="125"/>
      <c r="H142" s="125"/>
      <c r="I142" s="125"/>
      <c r="J142" s="125"/>
    </row>
    <row r="143" spans="1:10" s="155" customFormat="1">
      <c r="A143" s="157"/>
      <c r="B143" s="169"/>
      <c r="F143" s="125"/>
      <c r="G143" s="125"/>
      <c r="H143" s="125"/>
      <c r="I143" s="125"/>
      <c r="J143" s="125"/>
    </row>
    <row r="144" spans="1:10" s="155" customFormat="1">
      <c r="A144" s="157"/>
      <c r="B144" s="169"/>
      <c r="F144" s="125"/>
      <c r="G144" s="125"/>
      <c r="H144" s="125"/>
      <c r="I144" s="125"/>
      <c r="J144" s="125"/>
    </row>
    <row r="145" spans="1:10" s="155" customFormat="1">
      <c r="A145" s="157"/>
      <c r="B145" s="169"/>
      <c r="F145" s="125"/>
      <c r="G145" s="125"/>
      <c r="H145" s="125"/>
      <c r="I145" s="125"/>
      <c r="J145" s="125"/>
    </row>
    <row r="146" spans="1:10" s="155" customFormat="1">
      <c r="A146" s="157"/>
      <c r="B146" s="169"/>
      <c r="F146" s="125"/>
      <c r="G146" s="125"/>
      <c r="H146" s="125"/>
      <c r="I146" s="125"/>
      <c r="J146" s="125"/>
    </row>
    <row r="147" spans="1:10" s="155" customFormat="1">
      <c r="A147" s="157"/>
      <c r="B147" s="169"/>
      <c r="F147" s="125"/>
      <c r="G147" s="125"/>
      <c r="H147" s="125"/>
      <c r="I147" s="125"/>
      <c r="J147" s="125"/>
    </row>
    <row r="148" spans="1:10" s="155" customFormat="1">
      <c r="A148" s="157"/>
      <c r="B148" s="169"/>
      <c r="F148" s="125"/>
      <c r="G148" s="125"/>
      <c r="H148" s="125"/>
      <c r="I148" s="125"/>
      <c r="J148" s="125"/>
    </row>
    <row r="149" spans="1:10" s="155" customFormat="1">
      <c r="A149" s="157"/>
      <c r="B149" s="169"/>
      <c r="F149" s="125"/>
      <c r="G149" s="125"/>
      <c r="H149" s="125"/>
      <c r="I149" s="125"/>
      <c r="J149" s="125"/>
    </row>
    <row r="150" spans="1:10" s="155" customFormat="1">
      <c r="A150" s="157"/>
      <c r="B150" s="169"/>
      <c r="F150" s="125"/>
      <c r="G150" s="125"/>
      <c r="H150" s="125"/>
      <c r="I150" s="125"/>
      <c r="J150" s="125"/>
    </row>
    <row r="151" spans="1:10" s="155" customFormat="1">
      <c r="A151" s="157"/>
      <c r="B151" s="169"/>
      <c r="F151" s="125"/>
      <c r="G151" s="125"/>
      <c r="H151" s="125"/>
      <c r="I151" s="125"/>
      <c r="J151" s="125"/>
    </row>
    <row r="152" spans="1:10" s="155" customFormat="1">
      <c r="A152" s="157"/>
      <c r="B152" s="169"/>
      <c r="F152" s="125"/>
      <c r="G152" s="125"/>
      <c r="H152" s="125"/>
      <c r="I152" s="125"/>
      <c r="J152" s="125"/>
    </row>
    <row r="153" spans="1:10" s="155" customFormat="1">
      <c r="A153" s="157"/>
      <c r="B153" s="169"/>
      <c r="F153" s="125"/>
      <c r="G153" s="125"/>
      <c r="H153" s="125"/>
      <c r="I153" s="125"/>
      <c r="J153" s="125"/>
    </row>
    <row r="154" spans="1:10" s="155" customFormat="1">
      <c r="A154" s="157"/>
      <c r="B154" s="169"/>
      <c r="F154" s="125"/>
      <c r="G154" s="125"/>
      <c r="H154" s="125"/>
      <c r="I154" s="125"/>
      <c r="J154" s="125"/>
    </row>
    <row r="155" spans="1:10" s="155" customFormat="1">
      <c r="A155" s="157"/>
      <c r="B155" s="169"/>
      <c r="F155" s="125"/>
      <c r="G155" s="125"/>
      <c r="H155" s="125"/>
      <c r="I155" s="125"/>
      <c r="J155" s="125"/>
    </row>
    <row r="156" spans="1:10" s="155" customFormat="1">
      <c r="A156" s="157"/>
      <c r="B156" s="169"/>
      <c r="F156" s="125"/>
      <c r="G156" s="125"/>
      <c r="H156" s="125"/>
      <c r="I156" s="125"/>
      <c r="J156" s="125"/>
    </row>
    <row r="157" spans="1:10" s="155" customFormat="1">
      <c r="A157" s="157"/>
      <c r="B157" s="169"/>
      <c r="F157" s="125"/>
      <c r="G157" s="125"/>
      <c r="H157" s="125"/>
      <c r="I157" s="125"/>
      <c r="J157" s="125"/>
    </row>
    <row r="158" spans="1:10" s="155" customFormat="1">
      <c r="A158" s="157"/>
      <c r="B158" s="169"/>
      <c r="F158" s="125"/>
      <c r="G158" s="125"/>
      <c r="H158" s="125"/>
      <c r="I158" s="125"/>
      <c r="J158" s="125"/>
    </row>
    <row r="159" spans="1:10" s="155" customFormat="1">
      <c r="A159" s="157"/>
      <c r="B159" s="169"/>
      <c r="F159" s="125"/>
      <c r="G159" s="125"/>
      <c r="H159" s="125"/>
      <c r="I159" s="125"/>
      <c r="J159" s="125"/>
    </row>
    <row r="160" spans="1:10" s="155" customFormat="1">
      <c r="A160" s="157"/>
      <c r="B160" s="169"/>
      <c r="F160" s="125"/>
      <c r="G160" s="125"/>
      <c r="H160" s="125"/>
      <c r="I160" s="125"/>
      <c r="J160" s="125"/>
    </row>
    <row r="161" spans="1:10" s="155" customFormat="1">
      <c r="A161" s="157"/>
      <c r="B161" s="169"/>
      <c r="F161" s="125"/>
      <c r="G161" s="125"/>
      <c r="H161" s="125"/>
      <c r="I161" s="125"/>
      <c r="J161" s="125"/>
    </row>
    <row r="162" spans="1:10" s="155" customFormat="1">
      <c r="A162" s="157"/>
      <c r="B162" s="169"/>
      <c r="F162" s="125"/>
      <c r="G162" s="125"/>
      <c r="H162" s="125"/>
      <c r="I162" s="125"/>
      <c r="J162" s="125"/>
    </row>
    <row r="163" spans="1:10" s="155" customFormat="1">
      <c r="A163" s="157"/>
      <c r="B163" s="169"/>
      <c r="F163" s="125"/>
      <c r="G163" s="125"/>
      <c r="H163" s="125"/>
      <c r="I163" s="125"/>
      <c r="J163" s="125"/>
    </row>
    <row r="164" spans="1:10" s="155" customFormat="1">
      <c r="A164" s="157"/>
      <c r="B164" s="169"/>
      <c r="F164" s="125"/>
      <c r="G164" s="125"/>
      <c r="H164" s="125"/>
      <c r="I164" s="125"/>
      <c r="J164" s="125"/>
    </row>
    <row r="165" spans="1:10" s="155" customFormat="1">
      <c r="A165" s="157"/>
      <c r="B165" s="169"/>
      <c r="F165" s="125"/>
      <c r="G165" s="125"/>
      <c r="H165" s="125"/>
      <c r="I165" s="125"/>
      <c r="J165" s="125"/>
    </row>
    <row r="166" spans="1:10" s="155" customFormat="1">
      <c r="A166" s="157"/>
      <c r="B166" s="169"/>
      <c r="F166" s="125"/>
      <c r="G166" s="125"/>
      <c r="H166" s="125"/>
      <c r="I166" s="125"/>
      <c r="J166" s="125"/>
    </row>
    <row r="167" spans="1:10" s="155" customFormat="1">
      <c r="A167" s="157"/>
      <c r="B167" s="169"/>
      <c r="F167" s="125"/>
      <c r="G167" s="125"/>
      <c r="H167" s="125"/>
      <c r="I167" s="125"/>
      <c r="J167" s="125"/>
    </row>
    <row r="168" spans="1:10" s="155" customFormat="1">
      <c r="A168" s="157"/>
      <c r="B168" s="169"/>
      <c r="F168" s="125"/>
      <c r="G168" s="125"/>
      <c r="H168" s="125"/>
      <c r="I168" s="125"/>
      <c r="J168" s="125"/>
    </row>
    <row r="169" spans="1:10" s="155" customFormat="1">
      <c r="A169" s="157"/>
      <c r="B169" s="169"/>
      <c r="F169" s="125"/>
      <c r="G169" s="125"/>
      <c r="H169" s="125"/>
      <c r="I169" s="125"/>
      <c r="J169" s="125"/>
    </row>
    <row r="170" spans="1:10" s="155" customFormat="1">
      <c r="A170" s="157"/>
      <c r="B170" s="169"/>
      <c r="F170" s="125"/>
      <c r="G170" s="125"/>
      <c r="H170" s="125"/>
      <c r="I170" s="125"/>
      <c r="J170" s="125"/>
    </row>
    <row r="171" spans="1:10" s="155" customFormat="1">
      <c r="A171" s="157"/>
      <c r="B171" s="169"/>
      <c r="F171" s="125"/>
      <c r="G171" s="125"/>
      <c r="H171" s="125"/>
      <c r="I171" s="125"/>
      <c r="J171" s="125"/>
    </row>
    <row r="172" spans="1:10" s="155" customFormat="1">
      <c r="A172" s="157"/>
      <c r="B172" s="169"/>
      <c r="F172" s="125"/>
      <c r="G172" s="125"/>
      <c r="H172" s="125"/>
      <c r="I172" s="125"/>
      <c r="J172" s="125"/>
    </row>
    <row r="173" spans="1:10" s="155" customFormat="1">
      <c r="A173" s="157"/>
      <c r="B173" s="169"/>
      <c r="F173" s="125"/>
      <c r="G173" s="125"/>
      <c r="H173" s="125"/>
      <c r="I173" s="125"/>
      <c r="J173" s="125"/>
    </row>
    <row r="174" spans="1:10" s="155" customFormat="1">
      <c r="A174" s="157"/>
      <c r="B174" s="169"/>
      <c r="F174" s="125"/>
      <c r="G174" s="125"/>
      <c r="H174" s="125"/>
      <c r="I174" s="125"/>
      <c r="J174" s="125"/>
    </row>
    <row r="175" spans="1:10" s="155" customFormat="1">
      <c r="A175" s="157"/>
      <c r="B175" s="169"/>
      <c r="F175" s="125"/>
      <c r="G175" s="125"/>
      <c r="H175" s="125"/>
      <c r="I175" s="125"/>
      <c r="J175" s="125"/>
    </row>
    <row r="176" spans="1:10" s="155" customFormat="1">
      <c r="A176" s="157"/>
      <c r="B176" s="169"/>
      <c r="F176" s="125"/>
      <c r="G176" s="125"/>
      <c r="H176" s="125"/>
      <c r="I176" s="125"/>
      <c r="J176" s="125"/>
    </row>
    <row r="177" spans="1:10" s="155" customFormat="1">
      <c r="A177" s="157"/>
      <c r="B177" s="169"/>
      <c r="F177" s="125"/>
      <c r="G177" s="125"/>
      <c r="H177" s="125"/>
      <c r="I177" s="125"/>
      <c r="J177" s="125"/>
    </row>
    <row r="178" spans="1:10" s="155" customFormat="1">
      <c r="A178" s="157"/>
      <c r="B178" s="169"/>
      <c r="F178" s="125"/>
      <c r="G178" s="125"/>
      <c r="H178" s="125"/>
      <c r="I178" s="125"/>
      <c r="J178" s="125"/>
    </row>
    <row r="179" spans="1:10" s="155" customFormat="1">
      <c r="A179" s="157"/>
      <c r="B179" s="169"/>
      <c r="F179" s="125"/>
      <c r="G179" s="125"/>
      <c r="H179" s="125"/>
      <c r="I179" s="125"/>
      <c r="J179" s="125"/>
    </row>
    <row r="180" spans="1:10" s="155" customFormat="1">
      <c r="A180" s="157"/>
      <c r="B180" s="169"/>
      <c r="F180" s="125"/>
      <c r="G180" s="125"/>
      <c r="H180" s="125"/>
      <c r="I180" s="125"/>
      <c r="J180" s="125"/>
    </row>
    <row r="181" spans="1:10" s="155" customFormat="1">
      <c r="A181" s="157"/>
      <c r="B181" s="169"/>
      <c r="F181" s="125"/>
      <c r="G181" s="125"/>
      <c r="H181" s="125"/>
      <c r="I181" s="125"/>
      <c r="J181" s="125"/>
    </row>
    <row r="182" spans="1:10" s="155" customFormat="1">
      <c r="A182" s="157"/>
      <c r="B182" s="169"/>
      <c r="F182" s="125"/>
      <c r="G182" s="125"/>
      <c r="H182" s="125"/>
      <c r="I182" s="125"/>
      <c r="J182" s="125"/>
    </row>
    <row r="183" spans="1:10" s="155" customFormat="1">
      <c r="A183" s="157"/>
      <c r="B183" s="169"/>
      <c r="F183" s="125"/>
      <c r="G183" s="125"/>
      <c r="H183" s="125"/>
      <c r="I183" s="125"/>
      <c r="J183" s="125"/>
    </row>
    <row r="184" spans="1:10" s="155" customFormat="1">
      <c r="A184" s="157"/>
      <c r="B184" s="169"/>
      <c r="F184" s="125"/>
      <c r="G184" s="125"/>
      <c r="H184" s="125"/>
      <c r="I184" s="125"/>
      <c r="J184" s="125"/>
    </row>
    <row r="185" spans="1:10" s="155" customFormat="1">
      <c r="A185" s="157"/>
      <c r="B185" s="169"/>
      <c r="F185" s="125"/>
      <c r="G185" s="125"/>
      <c r="H185" s="125"/>
      <c r="I185" s="125"/>
      <c r="J185" s="125"/>
    </row>
    <row r="186" spans="1:10" s="155" customFormat="1">
      <c r="A186" s="157"/>
      <c r="B186" s="169"/>
      <c r="F186" s="125"/>
      <c r="G186" s="125"/>
      <c r="H186" s="125"/>
      <c r="I186" s="125"/>
      <c r="J186" s="125"/>
    </row>
    <row r="187" spans="1:10" s="155" customFormat="1">
      <c r="A187" s="157"/>
      <c r="B187" s="169"/>
      <c r="F187" s="125"/>
      <c r="G187" s="125"/>
      <c r="H187" s="125"/>
      <c r="I187" s="125"/>
      <c r="J187" s="125"/>
    </row>
    <row r="188" spans="1:10" s="155" customFormat="1">
      <c r="A188" s="157"/>
      <c r="B188" s="169"/>
      <c r="F188" s="125"/>
      <c r="G188" s="125"/>
      <c r="H188" s="125"/>
      <c r="I188" s="125"/>
      <c r="J188" s="125"/>
    </row>
    <row r="189" spans="1:10" s="155" customFormat="1">
      <c r="A189" s="157"/>
      <c r="B189" s="169"/>
      <c r="F189" s="125"/>
      <c r="G189" s="125"/>
      <c r="H189" s="125"/>
      <c r="I189" s="125"/>
      <c r="J189" s="125"/>
    </row>
    <row r="190" spans="1:10" s="155" customFormat="1">
      <c r="A190" s="157"/>
      <c r="B190" s="169"/>
      <c r="F190" s="125"/>
      <c r="G190" s="125"/>
      <c r="H190" s="125"/>
      <c r="I190" s="125"/>
      <c r="J190" s="125"/>
    </row>
    <row r="191" spans="1:10" s="155" customFormat="1">
      <c r="A191" s="157"/>
      <c r="B191" s="169"/>
      <c r="F191" s="125"/>
      <c r="G191" s="125"/>
      <c r="H191" s="125"/>
      <c r="I191" s="125"/>
      <c r="J191" s="125"/>
    </row>
    <row r="192" spans="1:10" s="155" customFormat="1">
      <c r="A192" s="157"/>
      <c r="B192" s="169"/>
      <c r="F192" s="125"/>
      <c r="G192" s="125"/>
      <c r="H192" s="125"/>
      <c r="I192" s="125"/>
      <c r="J192" s="125"/>
    </row>
    <row r="193" spans="1:10" s="155" customFormat="1">
      <c r="A193" s="157"/>
      <c r="B193" s="169"/>
      <c r="F193" s="125"/>
      <c r="G193" s="125"/>
      <c r="H193" s="125"/>
      <c r="I193" s="125"/>
      <c r="J193" s="125"/>
    </row>
    <row r="194" spans="1:10" s="155" customFormat="1">
      <c r="A194" s="157"/>
      <c r="B194" s="169"/>
      <c r="F194" s="125"/>
      <c r="G194" s="125"/>
      <c r="H194" s="125"/>
      <c r="I194" s="125"/>
      <c r="J194" s="125"/>
    </row>
    <row r="195" spans="1:10" s="155" customFormat="1">
      <c r="A195" s="157"/>
      <c r="B195" s="169"/>
      <c r="F195" s="125"/>
      <c r="G195" s="125"/>
      <c r="H195" s="125"/>
      <c r="I195" s="125"/>
      <c r="J195" s="125"/>
    </row>
    <row r="196" spans="1:10" s="155" customFormat="1">
      <c r="A196" s="157"/>
      <c r="B196" s="169"/>
      <c r="F196" s="125"/>
      <c r="G196" s="125"/>
      <c r="H196" s="125"/>
      <c r="I196" s="125"/>
      <c r="J196" s="125"/>
    </row>
    <row r="197" spans="1:10" s="155" customFormat="1">
      <c r="A197" s="157"/>
      <c r="B197" s="169"/>
      <c r="F197" s="125"/>
      <c r="G197" s="125"/>
      <c r="H197" s="125"/>
      <c r="I197" s="125"/>
      <c r="J197" s="125"/>
    </row>
    <row r="198" spans="1:10" s="155" customFormat="1">
      <c r="A198" s="157"/>
      <c r="B198" s="169"/>
      <c r="F198" s="125"/>
      <c r="G198" s="125"/>
      <c r="H198" s="125"/>
      <c r="I198" s="125"/>
      <c r="J198" s="125"/>
    </row>
    <row r="199" spans="1:10" s="155" customFormat="1">
      <c r="A199" s="157"/>
      <c r="B199" s="169"/>
      <c r="F199" s="125"/>
      <c r="G199" s="125"/>
      <c r="H199" s="125"/>
      <c r="I199" s="125"/>
      <c r="J199" s="125"/>
    </row>
    <row r="200" spans="1:10" s="155" customFormat="1">
      <c r="A200" s="157"/>
      <c r="B200" s="169"/>
      <c r="F200" s="125"/>
      <c r="G200" s="125"/>
      <c r="H200" s="125"/>
      <c r="I200" s="125"/>
      <c r="J200" s="125"/>
    </row>
    <row r="201" spans="1:10" s="155" customFormat="1">
      <c r="A201" s="157"/>
      <c r="B201" s="169"/>
      <c r="F201" s="125"/>
      <c r="G201" s="125"/>
      <c r="H201" s="125"/>
      <c r="I201" s="125"/>
      <c r="J201" s="125"/>
    </row>
    <row r="202" spans="1:10" s="155" customFormat="1">
      <c r="A202" s="157"/>
      <c r="B202" s="169"/>
      <c r="F202" s="125"/>
      <c r="G202" s="125"/>
      <c r="H202" s="125"/>
      <c r="I202" s="125"/>
      <c r="J202" s="125"/>
    </row>
    <row r="203" spans="1:10" s="155" customFormat="1">
      <c r="A203" s="157"/>
      <c r="B203" s="169"/>
      <c r="F203" s="125"/>
      <c r="G203" s="125"/>
      <c r="H203" s="125"/>
      <c r="I203" s="125"/>
      <c r="J203" s="125"/>
    </row>
    <row r="204" spans="1:10" s="155" customFormat="1">
      <c r="A204" s="157"/>
      <c r="B204" s="169"/>
      <c r="F204" s="125"/>
      <c r="G204" s="125"/>
      <c r="H204" s="125"/>
      <c r="I204" s="125"/>
      <c r="J204" s="125"/>
    </row>
    <row r="205" spans="1:10" s="155" customFormat="1">
      <c r="A205" s="157"/>
      <c r="B205" s="169"/>
      <c r="F205" s="125"/>
      <c r="G205" s="125"/>
      <c r="H205" s="125"/>
      <c r="I205" s="125"/>
      <c r="J205" s="125"/>
    </row>
    <row r="206" spans="1:10" s="155" customFormat="1">
      <c r="A206" s="157"/>
      <c r="B206" s="169"/>
      <c r="F206" s="125"/>
      <c r="G206" s="125"/>
      <c r="H206" s="125"/>
      <c r="I206" s="125"/>
      <c r="J206" s="125"/>
    </row>
    <row r="207" spans="1:10" s="155" customFormat="1">
      <c r="A207" s="157"/>
      <c r="B207" s="169"/>
      <c r="F207" s="125"/>
      <c r="G207" s="125"/>
      <c r="H207" s="125"/>
      <c r="I207" s="125"/>
      <c r="J207" s="125"/>
    </row>
    <row r="208" spans="1:10" s="155" customFormat="1">
      <c r="A208" s="157"/>
      <c r="B208" s="169"/>
      <c r="F208" s="125"/>
      <c r="G208" s="125"/>
      <c r="H208" s="125"/>
      <c r="I208" s="125"/>
      <c r="J208" s="125"/>
    </row>
    <row r="209" spans="1:10" s="155" customFormat="1">
      <c r="A209" s="157"/>
      <c r="B209" s="169"/>
      <c r="F209" s="125"/>
      <c r="G209" s="125"/>
      <c r="H209" s="125"/>
      <c r="I209" s="125"/>
      <c r="J209" s="125"/>
    </row>
    <row r="210" spans="1:10" s="155" customFormat="1">
      <c r="A210" s="157"/>
      <c r="B210" s="169"/>
      <c r="F210" s="125"/>
      <c r="G210" s="125"/>
      <c r="H210" s="125"/>
      <c r="I210" s="125"/>
      <c r="J210" s="125"/>
    </row>
    <row r="211" spans="1:10" s="155" customFormat="1">
      <c r="A211" s="157"/>
      <c r="B211" s="169"/>
      <c r="F211" s="125"/>
      <c r="G211" s="125"/>
      <c r="H211" s="125"/>
      <c r="I211" s="125"/>
      <c r="J211" s="125"/>
    </row>
    <row r="212" spans="1:10" s="155" customFormat="1">
      <c r="A212" s="157"/>
      <c r="B212" s="169"/>
      <c r="F212" s="125"/>
      <c r="G212" s="125"/>
      <c r="H212" s="125"/>
      <c r="I212" s="125"/>
      <c r="J212" s="125"/>
    </row>
    <row r="213" spans="1:10" s="155" customFormat="1">
      <c r="A213" s="157"/>
      <c r="B213" s="169"/>
      <c r="F213" s="125"/>
      <c r="G213" s="125"/>
      <c r="H213" s="125"/>
      <c r="I213" s="125"/>
      <c r="J213" s="125"/>
    </row>
    <row r="214" spans="1:10" s="155" customFormat="1">
      <c r="A214" s="157"/>
      <c r="B214" s="169"/>
      <c r="F214" s="125"/>
      <c r="G214" s="125"/>
      <c r="H214" s="125"/>
      <c r="I214" s="125"/>
      <c r="J214" s="125"/>
    </row>
    <row r="215" spans="1:10" s="155" customFormat="1">
      <c r="A215" s="157"/>
      <c r="B215" s="169"/>
      <c r="F215" s="125"/>
      <c r="G215" s="125"/>
      <c r="H215" s="125"/>
      <c r="I215" s="125"/>
      <c r="J215" s="125"/>
    </row>
    <row r="216" spans="1:10" s="155" customFormat="1">
      <c r="A216" s="157"/>
      <c r="B216" s="169"/>
      <c r="F216" s="125"/>
      <c r="G216" s="125"/>
      <c r="H216" s="125"/>
      <c r="I216" s="125"/>
      <c r="J216" s="125"/>
    </row>
    <row r="217" spans="1:10" s="155" customFormat="1">
      <c r="A217" s="157"/>
      <c r="B217" s="169"/>
      <c r="F217" s="125"/>
      <c r="G217" s="125"/>
      <c r="H217" s="125"/>
      <c r="I217" s="125"/>
      <c r="J217" s="125"/>
    </row>
    <row r="218" spans="1:10" s="155" customFormat="1">
      <c r="A218" s="157"/>
      <c r="B218" s="169"/>
      <c r="F218" s="125"/>
      <c r="G218" s="125"/>
      <c r="H218" s="125"/>
      <c r="I218" s="125"/>
      <c r="J218" s="125"/>
    </row>
    <row r="219" spans="1:10" s="155" customFormat="1">
      <c r="A219" s="157"/>
      <c r="B219" s="169"/>
      <c r="F219" s="125"/>
      <c r="G219" s="125"/>
      <c r="H219" s="125"/>
      <c r="I219" s="125"/>
      <c r="J219" s="125"/>
    </row>
    <row r="220" spans="1:10" s="155" customFormat="1">
      <c r="A220" s="157"/>
      <c r="B220" s="169"/>
      <c r="F220" s="125"/>
      <c r="G220" s="125"/>
      <c r="H220" s="125"/>
      <c r="I220" s="125"/>
      <c r="J220" s="125"/>
    </row>
    <row r="221" spans="1:10" s="155" customFormat="1">
      <c r="A221" s="157"/>
      <c r="B221" s="169"/>
      <c r="F221" s="125"/>
      <c r="G221" s="125"/>
      <c r="H221" s="125"/>
      <c r="I221" s="125"/>
      <c r="J221" s="125"/>
    </row>
    <row r="222" spans="1:10" s="155" customFormat="1">
      <c r="A222" s="157"/>
      <c r="B222" s="169"/>
      <c r="F222" s="125"/>
      <c r="G222" s="125"/>
      <c r="H222" s="125"/>
      <c r="I222" s="125"/>
      <c r="J222" s="125"/>
    </row>
    <row r="223" spans="1:10" s="155" customFormat="1">
      <c r="A223" s="157"/>
      <c r="B223" s="169"/>
      <c r="F223" s="125"/>
      <c r="G223" s="125"/>
      <c r="H223" s="125"/>
      <c r="I223" s="125"/>
      <c r="J223" s="125"/>
    </row>
    <row r="224" spans="1:10">
      <c r="A224" s="157"/>
    </row>
    <row r="225" spans="1:1">
      <c r="A225" s="157"/>
    </row>
    <row r="226" spans="1:1">
      <c r="A226" s="157"/>
    </row>
    <row r="227" spans="1:1">
      <c r="A227" s="157"/>
    </row>
    <row r="228" spans="1:1">
      <c r="A228" s="157"/>
    </row>
    <row r="229" spans="1:1">
      <c r="A229" s="157"/>
    </row>
    <row r="230" spans="1:1">
      <c r="A230" s="157"/>
    </row>
    <row r="231" spans="1:1">
      <c r="A231" s="157"/>
    </row>
    <row r="232" spans="1:1">
      <c r="A232" s="157"/>
    </row>
    <row r="233" spans="1:1">
      <c r="A233" s="157"/>
    </row>
    <row r="234" spans="1:1">
      <c r="A234" s="157"/>
    </row>
    <row r="235" spans="1:1">
      <c r="A235" s="157"/>
    </row>
  </sheetData>
  <mergeCells count="22">
    <mergeCell ref="C85:F85"/>
    <mergeCell ref="H85:J85"/>
    <mergeCell ref="C86:F86"/>
    <mergeCell ref="H86:J86"/>
    <mergeCell ref="A2:J2"/>
    <mergeCell ref="A8:A9"/>
    <mergeCell ref="B8:B9"/>
    <mergeCell ref="F8:F9"/>
    <mergeCell ref="G8:J8"/>
    <mergeCell ref="C8:C9"/>
    <mergeCell ref="E8:E9"/>
    <mergeCell ref="D8:D9"/>
    <mergeCell ref="A61:J61"/>
    <mergeCell ref="A4:J4"/>
    <mergeCell ref="A3:J3"/>
    <mergeCell ref="A6:J6"/>
    <mergeCell ref="A32:J32"/>
    <mergeCell ref="A50:J50"/>
    <mergeCell ref="A24:J24"/>
    <mergeCell ref="A11:J11"/>
    <mergeCell ref="A17:J17"/>
    <mergeCell ref="A26:J26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59" fitToWidth="3" fitToHeight="3" orientation="landscape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S392"/>
  <sheetViews>
    <sheetView view="pageBreakPreview" zoomScale="75" zoomScaleNormal="85" zoomScaleSheetLayoutView="75" workbookViewId="0">
      <selection activeCell="K1" sqref="K1:N1048576"/>
    </sheetView>
  </sheetViews>
  <sheetFormatPr defaultRowHeight="18.75" outlineLevelRow="1"/>
  <cols>
    <col min="1" max="1" width="84.42578125" style="307" customWidth="1"/>
    <col min="2" max="2" width="10.85546875" style="35" customWidth="1"/>
    <col min="3" max="3" width="18" style="309" customWidth="1"/>
    <col min="4" max="4" width="19.140625" style="309" customWidth="1"/>
    <col min="5" max="5" width="17.85546875" style="309" customWidth="1"/>
    <col min="6" max="6" width="18.5703125" style="309" customWidth="1"/>
    <col min="7" max="10" width="16.28515625" style="307" customWidth="1"/>
    <col min="11" max="17" width="12.5703125" style="307" customWidth="1"/>
    <col min="18" max="16384" width="9.140625" style="307"/>
  </cols>
  <sheetData>
    <row r="1" spans="1:19">
      <c r="A1" s="299"/>
      <c r="B1" s="300"/>
      <c r="C1" s="299"/>
      <c r="D1" s="299"/>
      <c r="E1" s="299"/>
      <c r="F1" s="299"/>
      <c r="G1" s="299"/>
      <c r="H1" s="299"/>
      <c r="I1" s="299"/>
      <c r="J1" s="299"/>
    </row>
    <row r="2" spans="1:19">
      <c r="A2" s="413" t="s">
        <v>307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9">
      <c r="A3" s="296"/>
      <c r="B3" s="91"/>
      <c r="C3" s="296"/>
      <c r="D3" s="296"/>
      <c r="E3" s="296"/>
      <c r="F3" s="296"/>
      <c r="G3" s="296"/>
      <c r="H3" s="296"/>
      <c r="I3" s="296"/>
      <c r="J3" s="296"/>
    </row>
    <row r="4" spans="1:19" ht="33" customHeight="1">
      <c r="A4" s="418" t="s">
        <v>91</v>
      </c>
      <c r="B4" s="416" t="s">
        <v>7</v>
      </c>
      <c r="C4" s="420" t="s">
        <v>365</v>
      </c>
      <c r="D4" s="420" t="s">
        <v>366</v>
      </c>
      <c r="E4" s="420" t="s">
        <v>367</v>
      </c>
      <c r="F4" s="420" t="s">
        <v>567</v>
      </c>
      <c r="G4" s="422" t="s">
        <v>109</v>
      </c>
      <c r="H4" s="423"/>
      <c r="I4" s="423"/>
      <c r="J4" s="424"/>
    </row>
    <row r="5" spans="1:19" ht="30.75" customHeight="1">
      <c r="A5" s="419"/>
      <c r="B5" s="417"/>
      <c r="C5" s="421"/>
      <c r="D5" s="421"/>
      <c r="E5" s="421"/>
      <c r="F5" s="421"/>
      <c r="G5" s="305" t="s">
        <v>72</v>
      </c>
      <c r="H5" s="305" t="s">
        <v>73</v>
      </c>
      <c r="I5" s="305" t="s">
        <v>74</v>
      </c>
      <c r="J5" s="305" t="s">
        <v>39</v>
      </c>
    </row>
    <row r="6" spans="1:19" ht="18" customHeight="1">
      <c r="A6" s="302">
        <v>1</v>
      </c>
      <c r="B6" s="92">
        <v>2</v>
      </c>
      <c r="C6" s="304">
        <v>3</v>
      </c>
      <c r="D6" s="304">
        <v>4</v>
      </c>
      <c r="E6" s="304">
        <v>5</v>
      </c>
      <c r="F6" s="304">
        <v>6</v>
      </c>
      <c r="G6" s="304">
        <v>7</v>
      </c>
      <c r="H6" s="304">
        <v>8</v>
      </c>
      <c r="I6" s="304">
        <v>9</v>
      </c>
      <c r="J6" s="304">
        <v>10</v>
      </c>
    </row>
    <row r="7" spans="1:19" s="82" customFormat="1" ht="42" customHeight="1">
      <c r="A7" s="85" t="s">
        <v>77</v>
      </c>
      <c r="B7" s="93">
        <v>1000</v>
      </c>
      <c r="C7" s="86">
        <f>[37]Розшиф!C6</f>
        <v>482735.95999999996</v>
      </c>
      <c r="D7" s="86">
        <f>[37]Розшиф!D6</f>
        <v>552619.01729389466</v>
      </c>
      <c r="E7" s="86">
        <f>[37]Розшиф!E6</f>
        <v>698003.9007679373</v>
      </c>
      <c r="F7" s="86">
        <f>SUM(G7:J7)</f>
        <v>963424.58108305279</v>
      </c>
      <c r="G7" s="86">
        <f>[37]Розшиф!L6</f>
        <v>438566.91851943836</v>
      </c>
      <c r="H7" s="86">
        <f>[37]Розшиф!M6</f>
        <v>109392.90636349018</v>
      </c>
      <c r="I7" s="86">
        <f>[37]Розшиф!N6</f>
        <v>82560.689234991427</v>
      </c>
      <c r="J7" s="86">
        <f>[37]Розшиф!O6</f>
        <v>332904.06696513284</v>
      </c>
    </row>
    <row r="8" spans="1:19" s="83" customFormat="1" ht="37.5" customHeight="1">
      <c r="A8" s="53" t="s">
        <v>69</v>
      </c>
      <c r="B8" s="94">
        <v>1010</v>
      </c>
      <c r="C8" s="54">
        <f>SUM(C9:C16)</f>
        <v>382582</v>
      </c>
      <c r="D8" s="54">
        <f t="shared" ref="D8:J8" si="0">SUM(D9:D16)</f>
        <v>498175.46769584052</v>
      </c>
      <c r="E8" s="54">
        <f t="shared" si="0"/>
        <v>670563.00998916174</v>
      </c>
      <c r="F8" s="54">
        <f>SUM(F9:F16)</f>
        <v>813311.71000872494</v>
      </c>
      <c r="G8" s="54">
        <f t="shared" si="0"/>
        <v>353531.73984357383</v>
      </c>
      <c r="H8" s="54">
        <f t="shared" si="0"/>
        <v>100990.2216402083</v>
      </c>
      <c r="I8" s="54">
        <f t="shared" si="0"/>
        <v>80378.154652015059</v>
      </c>
      <c r="J8" s="54">
        <f t="shared" si="0"/>
        <v>278411.59387292783</v>
      </c>
      <c r="K8" s="118"/>
      <c r="L8" s="118"/>
      <c r="M8" s="118"/>
      <c r="N8" s="118"/>
      <c r="O8" s="118"/>
      <c r="P8" s="118"/>
      <c r="Q8" s="118"/>
      <c r="R8" s="118"/>
      <c r="S8" s="118"/>
    </row>
    <row r="9" spans="1:19" s="2" customFormat="1" ht="20.100000000000001" customHeight="1">
      <c r="A9" s="8" t="s">
        <v>95</v>
      </c>
      <c r="B9" s="95">
        <v>1011</v>
      </c>
      <c r="C9" s="9">
        <f>[37]Розшиф!C37</f>
        <v>6668.4000000000015</v>
      </c>
      <c r="D9" s="9">
        <f>[37]Розшиф!D37</f>
        <v>4713.4626000000007</v>
      </c>
      <c r="E9" s="9">
        <f>[37]Розшиф!E37</f>
        <v>4747.666666666667</v>
      </c>
      <c r="F9" s="9">
        <f>SUM(G9:J9)</f>
        <v>5250.5466666666671</v>
      </c>
      <c r="G9" s="9">
        <f>[37]Розшиф!L37</f>
        <v>1224.3000000000002</v>
      </c>
      <c r="H9" s="9">
        <f>[37]Розшиф!M37</f>
        <v>1221.99</v>
      </c>
      <c r="I9" s="9">
        <f>[37]Розшиф!N37</f>
        <v>1124.3000000000002</v>
      </c>
      <c r="J9" s="9">
        <f>[37]Розшиф!O37</f>
        <v>1679.9566666666667</v>
      </c>
    </row>
    <row r="10" spans="1:19" s="2" customFormat="1" ht="20.100000000000001" customHeight="1">
      <c r="A10" s="8" t="s">
        <v>34</v>
      </c>
      <c r="B10" s="95">
        <v>1012</v>
      </c>
      <c r="C10" s="9">
        <f>[37]Розшиф!C38+[37]Розшиф!C39+[37]Розшиф!C40</f>
        <v>224537.30000000002</v>
      </c>
      <c r="D10" s="9">
        <f>[37]Розшиф!D38+[37]Розшиф!D39+[37]Розшиф!D40</f>
        <v>243438.69697911563</v>
      </c>
      <c r="E10" s="9">
        <f>[37]Розшиф!E38+[37]Розшиф!E39+[37]Розшиф!E40</f>
        <v>474442.78820765723</v>
      </c>
      <c r="F10" s="9">
        <f t="shared" ref="F10:F35" si="1">SUM(G10:J10)</f>
        <v>570540.65160085354</v>
      </c>
      <c r="G10" s="9">
        <f>[37]Розшиф!L38+[37]Розшиф!L39+[37]Розшиф!L40</f>
        <v>282582.53346193582</v>
      </c>
      <c r="H10" s="9">
        <f>[37]Розшиф!M38+[37]Розшиф!M39+[37]Розшиф!M40</f>
        <v>50018.459931260491</v>
      </c>
      <c r="I10" s="9">
        <f>[37]Розшиф!N38+[37]Розшиф!N39+[37]Розшиф!N40</f>
        <v>29173.858690437966</v>
      </c>
      <c r="J10" s="9">
        <f>[37]Розшиф!O38+[37]Розшиф!O39+[37]Розшиф!O40</f>
        <v>208765.7995172193</v>
      </c>
    </row>
    <row r="11" spans="1:19" s="2" customFormat="1" ht="20.100000000000001" customHeight="1">
      <c r="A11" s="8" t="s">
        <v>33</v>
      </c>
      <c r="B11" s="95">
        <v>1013</v>
      </c>
      <c r="C11" s="9">
        <f>[37]Розшиф!C41</f>
        <v>17882.3</v>
      </c>
      <c r="D11" s="9">
        <f>[37]Розшиф!D41</f>
        <v>25810.396891724879</v>
      </c>
      <c r="E11" s="9">
        <f>[37]Розшиф!E41</f>
        <v>23211.28775</v>
      </c>
      <c r="F11" s="9">
        <f t="shared" si="1"/>
        <v>30450</v>
      </c>
      <c r="G11" s="9">
        <f>[37]Розшиф!L41</f>
        <v>11558.82</v>
      </c>
      <c r="H11" s="9">
        <f>[37]Розшиф!M41</f>
        <v>4643.625</v>
      </c>
      <c r="I11" s="9">
        <f>[37]Розшиф!N41</f>
        <v>5107.9875000000002</v>
      </c>
      <c r="J11" s="9">
        <f>[37]Розшиф!O41</f>
        <v>9139.5674999999992</v>
      </c>
    </row>
    <row r="12" spans="1:19" s="2" customFormat="1" ht="20.100000000000001" customHeight="1">
      <c r="A12" s="8" t="s">
        <v>17</v>
      </c>
      <c r="B12" s="95">
        <v>1014</v>
      </c>
      <c r="C12" s="9">
        <f>[37]Розшиф!C42</f>
        <v>58793.7</v>
      </c>
      <c r="D12" s="9">
        <f>[37]Розшиф!D42</f>
        <v>65101.380000000005</v>
      </c>
      <c r="E12" s="9">
        <f>[37]Розшиф!E42</f>
        <v>72593.697857311461</v>
      </c>
      <c r="F12" s="9">
        <f t="shared" si="1"/>
        <v>93810.700159999993</v>
      </c>
      <c r="G12" s="9">
        <f>[37]Розшиф!L42</f>
        <v>23252.675039999998</v>
      </c>
      <c r="H12" s="9">
        <f>[37]Розшиф!M42</f>
        <v>23352.675039999998</v>
      </c>
      <c r="I12" s="9">
        <f>[37]Розшиф!N42</f>
        <v>23452.675039999998</v>
      </c>
      <c r="J12" s="9">
        <f>[37]Розшиф!O42</f>
        <v>23752.675039999998</v>
      </c>
    </row>
    <row r="13" spans="1:19" s="2" customFormat="1" ht="20.100000000000001" customHeight="1">
      <c r="A13" s="8" t="s">
        <v>18</v>
      </c>
      <c r="B13" s="95">
        <v>1015</v>
      </c>
      <c r="C13" s="9">
        <f>[37]Розшиф!C43</f>
        <v>12219.9</v>
      </c>
      <c r="D13" s="9">
        <f>[37]Розшиф!D43</f>
        <v>14322.303599999999</v>
      </c>
      <c r="E13" s="9">
        <f>[37]Розшиф!E43</f>
        <v>15538.074905657704</v>
      </c>
      <c r="F13" s="9">
        <f t="shared" si="1"/>
        <v>20638.354035199998</v>
      </c>
      <c r="G13" s="9">
        <f>[37]Розшиф!L43</f>
        <v>5115.5885087999995</v>
      </c>
      <c r="H13" s="9">
        <f>[37]Розшиф!M43</f>
        <v>5137.5885087999995</v>
      </c>
      <c r="I13" s="9">
        <f>[37]Розшиф!N43</f>
        <v>5159.5885087999995</v>
      </c>
      <c r="J13" s="9">
        <f>[37]Розшиф!O43</f>
        <v>5225.5885087999995</v>
      </c>
    </row>
    <row r="14" spans="1:19" s="2" customFormat="1" ht="39" customHeight="1">
      <c r="A14" s="8" t="s">
        <v>89</v>
      </c>
      <c r="B14" s="95">
        <v>1016</v>
      </c>
      <c r="C14" s="9">
        <f>[37]Розшиф!C44+[37]Розшиф!C45</f>
        <v>5351</v>
      </c>
      <c r="D14" s="9">
        <f>[37]Розшиф!D44+[37]Розшиф!D45</f>
        <v>6865.598</v>
      </c>
      <c r="E14" s="9">
        <f>[37]Розшиф!E44+[37]Розшиф!E45</f>
        <v>6610.9155000000001</v>
      </c>
      <c r="F14" s="9">
        <f t="shared" si="1"/>
        <v>11344.663</v>
      </c>
      <c r="G14" s="9">
        <f>[37]Розшиф!L44+[37]Розшиф!L45</f>
        <v>1836.1657500000001</v>
      </c>
      <c r="H14" s="9">
        <f>[37]Розшиф!M44+[37]Розшиф!M45</f>
        <v>2336.1657500000001</v>
      </c>
      <c r="I14" s="9">
        <f>[37]Розшиф!N44+[37]Розшиф!N45</f>
        <v>3336.1657500000001</v>
      </c>
      <c r="J14" s="9">
        <f>[37]Розшиф!O44+[37]Розшиф!O45</f>
        <v>3836.1657500000001</v>
      </c>
    </row>
    <row r="15" spans="1:19" s="2" customFormat="1" ht="20.100000000000001" customHeight="1">
      <c r="A15" s="8" t="s">
        <v>32</v>
      </c>
      <c r="B15" s="95">
        <v>1017</v>
      </c>
      <c r="C15" s="9">
        <f>[37]Розшиф!C46</f>
        <v>20575.5</v>
      </c>
      <c r="D15" s="9">
        <f>[37]Розшиф!D46</f>
        <v>21600</v>
      </c>
      <c r="E15" s="9">
        <f>[37]Розшиф!E46</f>
        <v>23389.200000000001</v>
      </c>
      <c r="F15" s="9">
        <f t="shared" si="1"/>
        <v>24400</v>
      </c>
      <c r="G15" s="9">
        <f>[37]Розшиф!L46</f>
        <v>6100</v>
      </c>
      <c r="H15" s="9">
        <f>[37]Розшиф!M46</f>
        <v>6100</v>
      </c>
      <c r="I15" s="9">
        <f>[37]Розшиф!N46</f>
        <v>6100</v>
      </c>
      <c r="J15" s="9">
        <f>[37]Розшиф!O46</f>
        <v>6100</v>
      </c>
    </row>
    <row r="16" spans="1:19" s="12" customFormat="1" ht="20.100000000000001" customHeight="1">
      <c r="A16" s="219" t="s">
        <v>402</v>
      </c>
      <c r="B16" s="103">
        <v>1018</v>
      </c>
      <c r="C16" s="44">
        <f>SUM(C17:C35)</f>
        <v>36553.899999999987</v>
      </c>
      <c r="D16" s="44">
        <f t="shared" ref="D16:J16" si="2">SUM(D17:D35)</f>
        <v>116323.62962500002</v>
      </c>
      <c r="E16" s="44">
        <f t="shared" si="2"/>
        <v>50029.37910186869</v>
      </c>
      <c r="F16" s="44">
        <f t="shared" si="2"/>
        <v>56876.79454600477</v>
      </c>
      <c r="G16" s="44">
        <f>SUM(G17:G35)</f>
        <v>21861.657082838028</v>
      </c>
      <c r="H16" s="44">
        <f t="shared" si="2"/>
        <v>8179.7174101478113</v>
      </c>
      <c r="I16" s="44">
        <f t="shared" si="2"/>
        <v>6923.5791627770896</v>
      </c>
      <c r="J16" s="44">
        <f t="shared" si="2"/>
        <v>19911.840890241849</v>
      </c>
    </row>
    <row r="17" spans="1:10" s="2" customFormat="1" ht="20.100000000000001" customHeight="1">
      <c r="A17" s="124" t="s">
        <v>312</v>
      </c>
      <c r="B17" s="95" t="s">
        <v>371</v>
      </c>
      <c r="C17" s="9">
        <f>[37]Розшиф!C48</f>
        <v>1499.2</v>
      </c>
      <c r="D17" s="9">
        <f>[37]Розшиф!D48</f>
        <v>1210.92</v>
      </c>
      <c r="E17" s="9">
        <f>[37]Розшиф!E48</f>
        <v>1669.7000324999999</v>
      </c>
      <c r="F17" s="9">
        <f>SUM(G17:J17)</f>
        <v>1753.1850341250001</v>
      </c>
      <c r="G17" s="9">
        <f>[37]Розшиф!L48</f>
        <v>443.20500000000004</v>
      </c>
      <c r="H17" s="9">
        <f>[37]Розшиф!M48</f>
        <v>207.06</v>
      </c>
      <c r="I17" s="9">
        <f>[37]Розшиф!N48</f>
        <v>463.33467862499998</v>
      </c>
      <c r="J17" s="9">
        <f>[37]Розшиф!O48</f>
        <v>639.58535549999999</v>
      </c>
    </row>
    <row r="18" spans="1:10" s="2" customFormat="1" ht="20.100000000000001" customHeight="1">
      <c r="A18" s="124" t="s">
        <v>313</v>
      </c>
      <c r="B18" s="95" t="s">
        <v>372</v>
      </c>
      <c r="C18" s="9">
        <f>[37]Розшиф!C49</f>
        <v>11341.2</v>
      </c>
      <c r="D18" s="9">
        <f>[37]Розшиф!D49</f>
        <v>13625.93</v>
      </c>
      <c r="E18" s="9">
        <f>[37]Розшиф!E49</f>
        <v>13983.104245718943</v>
      </c>
      <c r="F18" s="9">
        <f t="shared" si="1"/>
        <v>16193.88196962282</v>
      </c>
      <c r="G18" s="9">
        <f>[37]Розшиф!L49</f>
        <v>4762.8164063689946</v>
      </c>
      <c r="H18" s="9">
        <f>[37]Розшиф!M49</f>
        <v>3732.8613175348819</v>
      </c>
      <c r="I18" s="9">
        <f>[37]Розшиф!N49</f>
        <v>3032.5865881003037</v>
      </c>
      <c r="J18" s="9">
        <f>[37]Розшиф!O49</f>
        <v>4665.6176576186408</v>
      </c>
    </row>
    <row r="19" spans="1:10" s="2" customFormat="1" ht="20.100000000000001" customHeight="1">
      <c r="A19" s="124" t="s">
        <v>370</v>
      </c>
      <c r="B19" s="95" t="s">
        <v>373</v>
      </c>
      <c r="C19" s="9">
        <f>[37]Розшиф!C50</f>
        <v>8584.2000000000007</v>
      </c>
      <c r="D19" s="9">
        <f>[37]Розшиф!D50</f>
        <v>13014.9</v>
      </c>
      <c r="E19" s="9">
        <f>[37]Розшиф!E50</f>
        <v>292.09999999999991</v>
      </c>
      <c r="F19" s="9">
        <f t="shared" si="1"/>
        <v>0</v>
      </c>
      <c r="G19" s="9">
        <f>[37]Розшиф!L50</f>
        <v>0</v>
      </c>
      <c r="H19" s="9">
        <f>[37]Розшиф!M50</f>
        <v>0</v>
      </c>
      <c r="I19" s="9">
        <f>[37]Розшиф!N50</f>
        <v>0</v>
      </c>
      <c r="J19" s="9">
        <f>[37]Розшиф!O50</f>
        <v>0</v>
      </c>
    </row>
    <row r="20" spans="1:10" s="2" customFormat="1" ht="24.75" customHeight="1">
      <c r="A20" s="124" t="s">
        <v>390</v>
      </c>
      <c r="B20" s="95" t="s">
        <v>374</v>
      </c>
      <c r="C20" s="9">
        <f>[37]Розшиф!C51</f>
        <v>9806.4</v>
      </c>
      <c r="D20" s="9">
        <f>[37]Розшиф!D51</f>
        <v>83082.539999999994</v>
      </c>
      <c r="E20" s="9">
        <f>[37]Розшиф!E51</f>
        <v>28531.573432037647</v>
      </c>
      <c r="F20" s="9">
        <f t="shared" si="1"/>
        <v>32381.206018642806</v>
      </c>
      <c r="G20" s="9">
        <f>[37]Розшиф!L51</f>
        <v>14535.783536951803</v>
      </c>
      <c r="H20" s="9">
        <f>[37]Розшиф!M51</f>
        <v>2937.3543961100295</v>
      </c>
      <c r="I20" s="9">
        <f>[37]Розшиф!N51</f>
        <v>2131.8596535433298</v>
      </c>
      <c r="J20" s="9">
        <f>[37]Розшиф!O51</f>
        <v>12776.208432037647</v>
      </c>
    </row>
    <row r="21" spans="1:10" s="2" customFormat="1" ht="20.100000000000001" customHeight="1">
      <c r="A21" s="124" t="s">
        <v>320</v>
      </c>
      <c r="B21" s="95" t="s">
        <v>375</v>
      </c>
      <c r="C21" s="9">
        <f>[37]Розшиф!C52</f>
        <v>263.10000000000002</v>
      </c>
      <c r="D21" s="9">
        <f>[37]Розшиф!D52</f>
        <v>264.38</v>
      </c>
      <c r="E21" s="9">
        <f>[37]Розшиф!E52</f>
        <v>465.67368826810662</v>
      </c>
      <c r="F21" s="9">
        <f t="shared" si="1"/>
        <v>762.94952361414391</v>
      </c>
      <c r="G21" s="9">
        <f>[37]Розшиф!L52</f>
        <v>342.11707821603841</v>
      </c>
      <c r="H21" s="9">
        <f>[37]Розшиф!M52</f>
        <v>90.15841878966539</v>
      </c>
      <c r="I21" s="9">
        <f>[37]Розшиф!N52</f>
        <v>69.385991126846008</v>
      </c>
      <c r="J21" s="9">
        <f>[37]Розшиф!O52</f>
        <v>261.28803548159408</v>
      </c>
    </row>
    <row r="22" spans="1:10" s="2" customFormat="1" ht="20.100000000000001" customHeight="1">
      <c r="A22" s="124" t="s">
        <v>324</v>
      </c>
      <c r="B22" s="95" t="s">
        <v>376</v>
      </c>
      <c r="C22" s="9">
        <f>[37]Розшиф!C53</f>
        <v>4.5999999999999996</v>
      </c>
      <c r="D22" s="9">
        <f>[37]Розшиф!D53</f>
        <v>29.806000000000001</v>
      </c>
      <c r="E22" s="9">
        <f>[37]Розшиф!E53</f>
        <v>23</v>
      </c>
      <c r="F22" s="9">
        <f t="shared" si="1"/>
        <v>150.5</v>
      </c>
      <c r="G22" s="9">
        <f>[37]Розшиф!L53</f>
        <v>37.625</v>
      </c>
      <c r="H22" s="9">
        <f>[37]Розшиф!M53</f>
        <v>37.625</v>
      </c>
      <c r="I22" s="9">
        <f>[37]Розшиф!N53</f>
        <v>37.625</v>
      </c>
      <c r="J22" s="9">
        <f>[37]Розшиф!O53</f>
        <v>37.625</v>
      </c>
    </row>
    <row r="23" spans="1:10" s="2" customFormat="1" ht="20.100000000000001" customHeight="1">
      <c r="A23" s="124" t="s">
        <v>325</v>
      </c>
      <c r="B23" s="95" t="s">
        <v>377</v>
      </c>
      <c r="C23" s="9">
        <f>[37]Розшиф!C54</f>
        <v>1135.4000000000001</v>
      </c>
      <c r="D23" s="9">
        <f>[37]Розшиф!D54</f>
        <v>1260.1030000000003</v>
      </c>
      <c r="E23" s="9">
        <f>[37]Розшиф!E54</f>
        <v>1327.4254533439914</v>
      </c>
      <c r="F23" s="9">
        <f t="shared" si="1"/>
        <v>1392.3799999999999</v>
      </c>
      <c r="G23" s="9">
        <f>[37]Розшиф!L54</f>
        <v>700.68706130118903</v>
      </c>
      <c r="H23" s="9">
        <f>[37]Розшиф!M54</f>
        <v>142.23527771323538</v>
      </c>
      <c r="I23" s="9">
        <f>[37]Розшиф!N54</f>
        <v>58.364251381610117</v>
      </c>
      <c r="J23" s="9">
        <f>[37]Розшиф!O54</f>
        <v>491.09340960396543</v>
      </c>
    </row>
    <row r="24" spans="1:10" s="2" customFormat="1" ht="20.100000000000001" customHeight="1">
      <c r="A24" s="124" t="s">
        <v>322</v>
      </c>
      <c r="B24" s="95" t="s">
        <v>378</v>
      </c>
      <c r="C24" s="9">
        <f>[37]Розшиф!C55</f>
        <v>57.4</v>
      </c>
      <c r="D24" s="9">
        <f>[37]Розшиф!D55</f>
        <v>43.707999999999998</v>
      </c>
      <c r="E24" s="9">
        <f>[37]Розшиф!E55</f>
        <v>65.003999999999991</v>
      </c>
      <c r="F24" s="9">
        <f t="shared" si="1"/>
        <v>129</v>
      </c>
      <c r="G24" s="9">
        <f>[37]Розшиф!L55</f>
        <v>32.25</v>
      </c>
      <c r="H24" s="9">
        <f>[37]Розшиф!M55</f>
        <v>32.25</v>
      </c>
      <c r="I24" s="9">
        <f>[37]Розшиф!N55</f>
        <v>32.25</v>
      </c>
      <c r="J24" s="9">
        <f>[37]Розшиф!O55</f>
        <v>32.25</v>
      </c>
    </row>
    <row r="25" spans="1:10" s="2" customFormat="1" ht="20.100000000000001" customHeight="1">
      <c r="A25" s="124" t="s">
        <v>328</v>
      </c>
      <c r="B25" s="95" t="s">
        <v>379</v>
      </c>
      <c r="C25" s="9">
        <f>[37]Розшиф!C56</f>
        <v>379</v>
      </c>
      <c r="D25" s="9">
        <f>[37]Розшиф!D56</f>
        <v>322.2</v>
      </c>
      <c r="E25" s="9">
        <f>[37]Розшиф!E56</f>
        <v>323.55275</v>
      </c>
      <c r="F25" s="9">
        <f t="shared" si="1"/>
        <v>362</v>
      </c>
      <c r="G25" s="9">
        <f>[37]Розшиф!L56</f>
        <v>90.5</v>
      </c>
      <c r="H25" s="9">
        <f>[37]Розшиф!M56</f>
        <v>90.5</v>
      </c>
      <c r="I25" s="9">
        <f>[37]Розшиф!N56</f>
        <v>90.5</v>
      </c>
      <c r="J25" s="9">
        <f>[37]Розшиф!O56</f>
        <v>90.5</v>
      </c>
    </row>
    <row r="26" spans="1:10" s="2" customFormat="1" ht="20.100000000000001" customHeight="1">
      <c r="A26" s="124" t="s">
        <v>315</v>
      </c>
      <c r="B26" s="95" t="s">
        <v>380</v>
      </c>
      <c r="C26" s="9">
        <f>[37]Розшиф!C57</f>
        <v>248.2</v>
      </c>
      <c r="D26" s="9">
        <f>[37]Розшиф!D57</f>
        <v>157.78699999999998</v>
      </c>
      <c r="E26" s="9">
        <f>[37]Розшиф!E57</f>
        <v>231.5</v>
      </c>
      <c r="F26" s="9">
        <f t="shared" si="1"/>
        <v>298</v>
      </c>
      <c r="G26" s="9">
        <f>[37]Розшиф!L57</f>
        <v>50</v>
      </c>
      <c r="H26" s="9">
        <f>[37]Розшиф!M57</f>
        <v>50</v>
      </c>
      <c r="I26" s="9">
        <f>[37]Розшиф!N57</f>
        <v>148</v>
      </c>
      <c r="J26" s="9">
        <f>[37]Розшиф!O57</f>
        <v>50</v>
      </c>
    </row>
    <row r="27" spans="1:10" s="2" customFormat="1" ht="20.100000000000001" customHeight="1">
      <c r="A27" s="124" t="s">
        <v>321</v>
      </c>
      <c r="B27" s="95" t="s">
        <v>381</v>
      </c>
      <c r="C27" s="9">
        <f>[37]Розшиф!C58</f>
        <v>524.4</v>
      </c>
      <c r="D27" s="9">
        <f>[37]Розшиф!D58</f>
        <v>347.10299999999995</v>
      </c>
      <c r="E27" s="9">
        <f>[37]Розшиф!E58</f>
        <v>350.54275000000001</v>
      </c>
      <c r="F27" s="9">
        <f t="shared" si="1"/>
        <v>445.77100000000002</v>
      </c>
      <c r="G27" s="9">
        <f>[37]Розшиф!L58</f>
        <v>111.44275</v>
      </c>
      <c r="H27" s="9">
        <f>[37]Розшиф!M58</f>
        <v>111.44275</v>
      </c>
      <c r="I27" s="9">
        <f>[37]Розшиф!N58</f>
        <v>111.44275</v>
      </c>
      <c r="J27" s="9">
        <f>[37]Розшиф!O58</f>
        <v>111.44275</v>
      </c>
    </row>
    <row r="28" spans="1:10" s="2" customFormat="1" ht="20.100000000000001" customHeight="1">
      <c r="A28" s="124" t="s">
        <v>323</v>
      </c>
      <c r="B28" s="95" t="s">
        <v>382</v>
      </c>
      <c r="C28" s="9">
        <f>[37]Розшиф!C59</f>
        <v>187.2</v>
      </c>
      <c r="D28" s="9">
        <f>[37]Розшиф!D59</f>
        <v>144.55062500000003</v>
      </c>
      <c r="E28" s="9">
        <f>[37]Розшиф!E59</f>
        <v>209.97499999999999</v>
      </c>
      <c r="F28" s="9">
        <f t="shared" si="1"/>
        <v>246.29999999999998</v>
      </c>
      <c r="G28" s="9">
        <f>[37]Розшиф!L59</f>
        <v>61.574999999999996</v>
      </c>
      <c r="H28" s="9">
        <f>[37]Розшиф!M59</f>
        <v>61.574999999999996</v>
      </c>
      <c r="I28" s="9">
        <f>[37]Розшиф!N59</f>
        <v>61.574999999999996</v>
      </c>
      <c r="J28" s="9">
        <f>[37]Розшиф!O59</f>
        <v>61.574999999999996</v>
      </c>
    </row>
    <row r="29" spans="1:10" s="2" customFormat="1" ht="20.100000000000001" customHeight="1">
      <c r="A29" s="124" t="s">
        <v>326</v>
      </c>
      <c r="B29" s="95" t="s">
        <v>383</v>
      </c>
      <c r="C29" s="9">
        <f>[37]Розшиф!C60</f>
        <v>606.6</v>
      </c>
      <c r="D29" s="9">
        <f>[37]Розшиф!D60</f>
        <v>548.30000000000007</v>
      </c>
      <c r="E29" s="9">
        <f>[37]Розшиф!E60</f>
        <v>511.2</v>
      </c>
      <c r="F29" s="9">
        <f t="shared" si="1"/>
        <v>519.79999999999995</v>
      </c>
      <c r="G29" s="9">
        <f>[37]Розшиф!L60</f>
        <v>129.94999999999999</v>
      </c>
      <c r="H29" s="9">
        <f>[37]Розшиф!M60</f>
        <v>129.94999999999999</v>
      </c>
      <c r="I29" s="9">
        <f>[37]Розшиф!N60</f>
        <v>129.94999999999999</v>
      </c>
      <c r="J29" s="9">
        <f>[37]Розшиф!O60</f>
        <v>129.94999999999999</v>
      </c>
    </row>
    <row r="30" spans="1:10" s="2" customFormat="1" ht="20.100000000000001" customHeight="1">
      <c r="A30" s="124" t="s">
        <v>327</v>
      </c>
      <c r="B30" s="95" t="s">
        <v>384</v>
      </c>
      <c r="C30" s="9">
        <f>[37]Розшиф!C61</f>
        <v>345.1</v>
      </c>
      <c r="D30" s="9">
        <f>[37]Розшиф!D61</f>
        <v>431.3</v>
      </c>
      <c r="E30" s="9">
        <f>[37]Розшиф!E61</f>
        <v>290.65549999999996</v>
      </c>
      <c r="F30" s="9">
        <f t="shared" si="1"/>
        <v>345.11</v>
      </c>
      <c r="G30" s="9">
        <f>[37]Розшиф!L61</f>
        <v>86.277500000000003</v>
      </c>
      <c r="H30" s="9">
        <f>[37]Розшиф!M61</f>
        <v>86.277500000000003</v>
      </c>
      <c r="I30" s="9">
        <f>[37]Розшиф!N61</f>
        <v>86.277500000000003</v>
      </c>
      <c r="J30" s="9">
        <f>[37]Розшиф!O61</f>
        <v>86.277500000000003</v>
      </c>
    </row>
    <row r="31" spans="1:10" s="2" customFormat="1" ht="20.100000000000001" customHeight="1">
      <c r="A31" s="124" t="s">
        <v>316</v>
      </c>
      <c r="B31" s="95" t="s">
        <v>385</v>
      </c>
      <c r="C31" s="9">
        <f>[37]Розшиф!C62</f>
        <v>181.7</v>
      </c>
      <c r="D31" s="9">
        <f>[37]Розшиф!D62</f>
        <v>97.013000000000005</v>
      </c>
      <c r="E31" s="9">
        <f>[37]Розшиф!E62</f>
        <v>114.15325000000001</v>
      </c>
      <c r="F31" s="9">
        <f t="shared" si="1"/>
        <v>115</v>
      </c>
      <c r="G31" s="9">
        <f>[37]Розшиф!L62</f>
        <v>32</v>
      </c>
      <c r="H31" s="9">
        <f>[37]Розшиф!M62</f>
        <v>25</v>
      </c>
      <c r="I31" s="9">
        <f>[37]Розшиф!N62</f>
        <v>25</v>
      </c>
      <c r="J31" s="9">
        <f>[37]Розшиф!O62</f>
        <v>33</v>
      </c>
    </row>
    <row r="32" spans="1:10" s="2" customFormat="1" ht="20.100000000000001" customHeight="1">
      <c r="A32" s="124" t="s">
        <v>317</v>
      </c>
      <c r="B32" s="95" t="s">
        <v>386</v>
      </c>
      <c r="C32" s="9">
        <f>[37]Розшиф!C63</f>
        <v>405.8</v>
      </c>
      <c r="D32" s="9">
        <f>[37]Розшиф!D63</f>
        <v>555.84199999999998</v>
      </c>
      <c r="E32" s="9">
        <f>[37]Розшиф!E63</f>
        <v>634.9</v>
      </c>
      <c r="F32" s="9">
        <f t="shared" si="1"/>
        <v>729.6</v>
      </c>
      <c r="G32" s="9">
        <f>[37]Розшиф!L63</f>
        <v>182.4</v>
      </c>
      <c r="H32" s="9">
        <f>[37]Розшиф!M63</f>
        <v>182.4</v>
      </c>
      <c r="I32" s="9">
        <f>[37]Розшиф!N63</f>
        <v>182.4</v>
      </c>
      <c r="J32" s="9">
        <f>[37]Розшиф!O63</f>
        <v>182.4</v>
      </c>
    </row>
    <row r="33" spans="1:10" s="2" customFormat="1" ht="20.100000000000001" customHeight="1">
      <c r="A33" s="124" t="s">
        <v>318</v>
      </c>
      <c r="B33" s="95" t="s">
        <v>387</v>
      </c>
      <c r="C33" s="9">
        <f>[37]Розшиф!C64</f>
        <v>112</v>
      </c>
      <c r="D33" s="9">
        <f>[37]Розшиф!D64</f>
        <v>107.447</v>
      </c>
      <c r="E33" s="9">
        <f>[37]Розшиф!E64</f>
        <v>136.76175000000001</v>
      </c>
      <c r="F33" s="9">
        <f t="shared" si="1"/>
        <v>138</v>
      </c>
      <c r="G33" s="9">
        <f>[37]Розшиф!L64</f>
        <v>34.5</v>
      </c>
      <c r="H33" s="9">
        <f>[37]Розшиф!M64</f>
        <v>34.5</v>
      </c>
      <c r="I33" s="9">
        <f>[37]Розшиф!N64</f>
        <v>34.5</v>
      </c>
      <c r="J33" s="9">
        <f>[37]Розшиф!O64</f>
        <v>34.5</v>
      </c>
    </row>
    <row r="34" spans="1:10" s="2" customFormat="1" ht="20.100000000000001" customHeight="1">
      <c r="A34" s="124" t="s">
        <v>319</v>
      </c>
      <c r="B34" s="95" t="s">
        <v>388</v>
      </c>
      <c r="C34" s="9">
        <f>[37]Розшиф!C65</f>
        <v>410.2</v>
      </c>
      <c r="D34" s="9">
        <f>[37]Розшиф!D65</f>
        <v>362.7</v>
      </c>
      <c r="E34" s="9">
        <f>[37]Розшиф!E65</f>
        <v>315.77499999999998</v>
      </c>
      <c r="F34" s="9">
        <f t="shared" si="1"/>
        <v>360.053</v>
      </c>
      <c r="G34" s="9">
        <f>[37]Розшиф!L65</f>
        <v>90.013249999999999</v>
      </c>
      <c r="H34" s="9">
        <f>[37]Розшиф!M65</f>
        <v>90.013249999999999</v>
      </c>
      <c r="I34" s="9">
        <f>[37]Розшиф!N65</f>
        <v>90.013249999999999</v>
      </c>
      <c r="J34" s="9">
        <f>[37]Розшиф!O65</f>
        <v>90.013249999999999</v>
      </c>
    </row>
    <row r="35" spans="1:10" s="2" customFormat="1" ht="21.75" customHeight="1">
      <c r="A35" s="124" t="s">
        <v>329</v>
      </c>
      <c r="B35" s="95" t="s">
        <v>389</v>
      </c>
      <c r="C35" s="9">
        <f>[37]Розшиф!C66</f>
        <v>462.20000000000005</v>
      </c>
      <c r="D35" s="9">
        <f>[37]Розшиф!D66</f>
        <v>717.1</v>
      </c>
      <c r="E35" s="9">
        <f>[37]Розшиф!E66</f>
        <v>552.78224999999998</v>
      </c>
      <c r="F35" s="9">
        <f t="shared" si="1"/>
        <v>554.05799999999999</v>
      </c>
      <c r="G35" s="9">
        <f>[37]Розшиф!L66</f>
        <v>138.5145</v>
      </c>
      <c r="H35" s="9">
        <f>[37]Розшиф!M66</f>
        <v>138.5145</v>
      </c>
      <c r="I35" s="9">
        <f>[37]Розшиф!N66</f>
        <v>138.5145</v>
      </c>
      <c r="J35" s="9">
        <f>[37]Розшиф!O66</f>
        <v>138.5145</v>
      </c>
    </row>
    <row r="36" spans="1:10" s="82" customFormat="1" ht="29.25" customHeight="1">
      <c r="A36" s="85" t="s">
        <v>104</v>
      </c>
      <c r="B36" s="93">
        <v>1020</v>
      </c>
      <c r="C36" s="86">
        <f t="shared" ref="C36:J36" si="3">C7-C8</f>
        <v>100153.95999999996</v>
      </c>
      <c r="D36" s="86">
        <f t="shared" si="3"/>
        <v>54443.549598054145</v>
      </c>
      <c r="E36" s="86">
        <f t="shared" si="3"/>
        <v>27440.89077877556</v>
      </c>
      <c r="F36" s="86">
        <f t="shared" si="3"/>
        <v>150112.87107432785</v>
      </c>
      <c r="G36" s="86">
        <f t="shared" si="3"/>
        <v>85035.178675864532</v>
      </c>
      <c r="H36" s="86">
        <f t="shared" si="3"/>
        <v>8402.6847232818836</v>
      </c>
      <c r="I36" s="86">
        <f t="shared" si="3"/>
        <v>2182.5345829763683</v>
      </c>
      <c r="J36" s="86">
        <f t="shared" si="3"/>
        <v>54492.473092205008</v>
      </c>
    </row>
    <row r="37" spans="1:10" s="83" customFormat="1" ht="28.5" customHeight="1">
      <c r="A37" s="55" t="s">
        <v>85</v>
      </c>
      <c r="B37" s="96">
        <v>1030</v>
      </c>
      <c r="C37" s="56">
        <f>SUM(C38:C59)-C58</f>
        <v>18451.419672131145</v>
      </c>
      <c r="D37" s="56">
        <f t="shared" ref="D37:J37" si="4">SUM(D38:D59)-D58</f>
        <v>21797.233833333332</v>
      </c>
      <c r="E37" s="56">
        <f t="shared" si="4"/>
        <v>25045.7385435</v>
      </c>
      <c r="F37" s="56">
        <f t="shared" si="4"/>
        <v>29856.587399999997</v>
      </c>
      <c r="G37" s="56">
        <f t="shared" si="4"/>
        <v>7194.8143499999987</v>
      </c>
      <c r="H37" s="56">
        <f t="shared" si="4"/>
        <v>7368.199349999999</v>
      </c>
      <c r="I37" s="56">
        <f t="shared" si="4"/>
        <v>7602.6618499999986</v>
      </c>
      <c r="J37" s="56">
        <f t="shared" si="4"/>
        <v>7690.9118499999986</v>
      </c>
    </row>
    <row r="38" spans="1:10" ht="20.100000000000001" customHeight="1">
      <c r="A38" s="58" t="s">
        <v>53</v>
      </c>
      <c r="B38" s="97">
        <v>1031</v>
      </c>
      <c r="C38" s="338">
        <f>[37]Розшиф!C68</f>
        <v>105.3</v>
      </c>
      <c r="D38" s="338">
        <f>[37]Розшиф!D68</f>
        <v>118.9727</v>
      </c>
      <c r="E38" s="338">
        <f>[37]Розшиф!E68</f>
        <v>151.4</v>
      </c>
      <c r="F38" s="9">
        <f t="shared" ref="F38:F69" si="5">SUM(G38:J38)</f>
        <v>156.91</v>
      </c>
      <c r="G38" s="338">
        <f>[37]Розшиф!L68</f>
        <v>39.227499999999999</v>
      </c>
      <c r="H38" s="338">
        <f>[37]Розшиф!M68</f>
        <v>39.227499999999999</v>
      </c>
      <c r="I38" s="338">
        <f>[37]Розшиф!N68</f>
        <v>39.227499999999999</v>
      </c>
      <c r="J38" s="338">
        <f>[37]Розшиф!O68</f>
        <v>39.227499999999999</v>
      </c>
    </row>
    <row r="39" spans="1:10" ht="20.100000000000001" customHeight="1">
      <c r="A39" s="58" t="s">
        <v>78</v>
      </c>
      <c r="B39" s="97">
        <v>1032</v>
      </c>
      <c r="C39" s="338">
        <f>[37]Розшиф!C69</f>
        <v>0</v>
      </c>
      <c r="D39" s="338">
        <f>[37]Розшиф!D69</f>
        <v>0</v>
      </c>
      <c r="E39" s="338">
        <f>[37]Розшиф!E69</f>
        <v>0</v>
      </c>
      <c r="F39" s="9">
        <f t="shared" si="5"/>
        <v>0</v>
      </c>
      <c r="G39" s="338">
        <f>[37]Розшиф!L69</f>
        <v>0</v>
      </c>
      <c r="H39" s="338">
        <f>[37]Розшиф!M69</f>
        <v>0</v>
      </c>
      <c r="I39" s="338">
        <f>[37]Розшиф!N69</f>
        <v>0</v>
      </c>
      <c r="J39" s="338">
        <f>[37]Розшиф!O69</f>
        <v>0</v>
      </c>
    </row>
    <row r="40" spans="1:10" ht="20.100000000000001" customHeight="1">
      <c r="A40" s="58" t="s">
        <v>31</v>
      </c>
      <c r="B40" s="97">
        <v>1033</v>
      </c>
      <c r="C40" s="338">
        <f>[37]Розшиф!C70</f>
        <v>0</v>
      </c>
      <c r="D40" s="338">
        <f>[37]Розшиф!D70</f>
        <v>40</v>
      </c>
      <c r="E40" s="338">
        <f>[37]Розшиф!E70</f>
        <v>40</v>
      </c>
      <c r="F40" s="9">
        <f t="shared" si="5"/>
        <v>40</v>
      </c>
      <c r="G40" s="338">
        <f>[37]Розшиф!L70</f>
        <v>10</v>
      </c>
      <c r="H40" s="338">
        <f>[37]Розшиф!M70</f>
        <v>10</v>
      </c>
      <c r="I40" s="338">
        <f>[37]Розшиф!N70</f>
        <v>10</v>
      </c>
      <c r="J40" s="338">
        <f>[37]Розшиф!O70</f>
        <v>10</v>
      </c>
    </row>
    <row r="41" spans="1:10" ht="20.100000000000001" customHeight="1">
      <c r="A41" s="58" t="s">
        <v>9</v>
      </c>
      <c r="B41" s="97">
        <v>1034</v>
      </c>
      <c r="C41" s="338">
        <f>[37]Розшиф!C71</f>
        <v>0</v>
      </c>
      <c r="D41" s="338">
        <f>[37]Розшиф!D71</f>
        <v>0</v>
      </c>
      <c r="E41" s="338">
        <f>[37]Розшиф!E71</f>
        <v>0</v>
      </c>
      <c r="F41" s="9">
        <f t="shared" si="5"/>
        <v>0</v>
      </c>
      <c r="G41" s="338">
        <f>[37]Розшиф!L71</f>
        <v>0</v>
      </c>
      <c r="H41" s="338">
        <f>[37]Розшиф!M71</f>
        <v>0</v>
      </c>
      <c r="I41" s="338">
        <f>[37]Розшиф!N71</f>
        <v>0</v>
      </c>
      <c r="J41" s="338">
        <f>[37]Розшиф!O71</f>
        <v>0</v>
      </c>
    </row>
    <row r="42" spans="1:10" ht="20.100000000000001" customHeight="1">
      <c r="A42" s="58" t="s">
        <v>10</v>
      </c>
      <c r="B42" s="97">
        <v>1035</v>
      </c>
      <c r="C42" s="338">
        <f>[37]Розшиф!C72</f>
        <v>322.5</v>
      </c>
      <c r="D42" s="338">
        <f>[37]Розшиф!D72</f>
        <v>356.58333333333337</v>
      </c>
      <c r="E42" s="338">
        <f>[37]Розшиф!E72</f>
        <v>348</v>
      </c>
      <c r="F42" s="9">
        <f t="shared" si="5"/>
        <v>381.12500000000006</v>
      </c>
      <c r="G42" s="338">
        <f>[37]Розшиф!L72</f>
        <v>46.875</v>
      </c>
      <c r="H42" s="338">
        <f>[37]Розшиф!M72</f>
        <v>46.875</v>
      </c>
      <c r="I42" s="338">
        <f>[37]Розшиф!N72</f>
        <v>235.81250000000006</v>
      </c>
      <c r="J42" s="338">
        <f>[37]Розшиф!O72</f>
        <v>51.5625</v>
      </c>
    </row>
    <row r="43" spans="1:10" s="2" customFormat="1" ht="20.100000000000001" customHeight="1">
      <c r="A43" s="58" t="s">
        <v>16</v>
      </c>
      <c r="B43" s="97">
        <v>1036</v>
      </c>
      <c r="C43" s="338">
        <f>[37]Розшиф!C73</f>
        <v>103.6</v>
      </c>
      <c r="D43" s="338">
        <f>[37]Розшиф!D73</f>
        <v>107.50700000000001</v>
      </c>
      <c r="E43" s="338">
        <f>[37]Розшиф!E73</f>
        <v>119.3535</v>
      </c>
      <c r="F43" s="9">
        <f t="shared" si="5"/>
        <v>130.6</v>
      </c>
      <c r="G43" s="338">
        <f>[37]Розшиф!L73</f>
        <v>32.65</v>
      </c>
      <c r="H43" s="338">
        <f>[37]Розшиф!M73</f>
        <v>32.65</v>
      </c>
      <c r="I43" s="338">
        <f>[37]Розшиф!N73</f>
        <v>32.65</v>
      </c>
      <c r="J43" s="338">
        <f>[37]Розшиф!O73</f>
        <v>32.65</v>
      </c>
    </row>
    <row r="44" spans="1:10" s="2" customFormat="1" ht="20.100000000000001" customHeight="1">
      <c r="A44" s="58" t="s">
        <v>157</v>
      </c>
      <c r="B44" s="97">
        <v>1037</v>
      </c>
      <c r="C44" s="338">
        <f>[37]Розшиф!C74</f>
        <v>218.2</v>
      </c>
      <c r="D44" s="338">
        <f>[37]Розшиф!D74</f>
        <v>322.35000000000002</v>
      </c>
      <c r="E44" s="338">
        <f>[37]Розшиф!E74</f>
        <v>262.5</v>
      </c>
      <c r="F44" s="9">
        <f t="shared" si="5"/>
        <v>300</v>
      </c>
      <c r="G44" s="338">
        <f>[37]Розшиф!L74</f>
        <v>75</v>
      </c>
      <c r="H44" s="338">
        <f>[37]Розшиф!M74</f>
        <v>75</v>
      </c>
      <c r="I44" s="338">
        <f>[37]Розшиф!N74</f>
        <v>75</v>
      </c>
      <c r="J44" s="338">
        <f>[37]Розшиф!O74</f>
        <v>75</v>
      </c>
    </row>
    <row r="45" spans="1:10" s="2" customFormat="1" ht="20.100000000000001" customHeight="1">
      <c r="A45" s="58" t="s">
        <v>17</v>
      </c>
      <c r="B45" s="97">
        <v>1038</v>
      </c>
      <c r="C45" s="338">
        <f>[37]Розшиф!C75</f>
        <v>12505.104508196722</v>
      </c>
      <c r="D45" s="338">
        <f>[37]Розшиф!D75</f>
        <v>14427.21</v>
      </c>
      <c r="E45" s="338">
        <f>[37]Розшиф!E75</f>
        <v>16138.883087704919</v>
      </c>
      <c r="F45" s="9">
        <f t="shared" si="5"/>
        <v>20201.939999999999</v>
      </c>
      <c r="G45" s="338">
        <f>[37]Розшиф!L75</f>
        <v>4850.4849999999997</v>
      </c>
      <c r="H45" s="338">
        <f>[37]Розшиф!M75</f>
        <v>5050.4849999999997</v>
      </c>
      <c r="I45" s="338">
        <f>[37]Розшиф!N75</f>
        <v>5050.4849999999997</v>
      </c>
      <c r="J45" s="338">
        <f>[37]Розшиф!O75</f>
        <v>5250.4849999999997</v>
      </c>
    </row>
    <row r="46" spans="1:10" s="2" customFormat="1" ht="20.100000000000001" customHeight="1">
      <c r="A46" s="58" t="s">
        <v>18</v>
      </c>
      <c r="B46" s="97">
        <v>1039</v>
      </c>
      <c r="C46" s="338">
        <f>[37]Розшиф!C76</f>
        <v>2302.0501639344261</v>
      </c>
      <c r="D46" s="338">
        <f>[37]Розшиф!D76</f>
        <v>3173.9862000000003</v>
      </c>
      <c r="E46" s="338">
        <f>[37]Розшиф!E76</f>
        <v>3197.1557057950818</v>
      </c>
      <c r="F46" s="9">
        <f t="shared" si="5"/>
        <v>4242.4073999999991</v>
      </c>
      <c r="G46" s="338">
        <f>[37]Розшиф!L76</f>
        <v>1018.6018499999999</v>
      </c>
      <c r="H46" s="338">
        <f>[37]Розшиф!M76</f>
        <v>1060.6018499999998</v>
      </c>
      <c r="I46" s="338">
        <f>[37]Розшиф!N76</f>
        <v>1060.6018499999998</v>
      </c>
      <c r="J46" s="338">
        <f>[37]Розшиф!O76</f>
        <v>1102.6018499999998</v>
      </c>
    </row>
    <row r="47" spans="1:10" s="2" customFormat="1" ht="35.25" customHeight="1">
      <c r="A47" s="58" t="s">
        <v>19</v>
      </c>
      <c r="B47" s="97">
        <v>1040</v>
      </c>
      <c r="C47" s="338">
        <f>[37]Розшиф!C77</f>
        <v>520.34100000000001</v>
      </c>
      <c r="D47" s="338">
        <f>[37]Розшиф!D77</f>
        <v>480</v>
      </c>
      <c r="E47" s="338">
        <f>[37]Розшиф!E77</f>
        <v>569.20000000000005</v>
      </c>
      <c r="F47" s="9">
        <f t="shared" si="5"/>
        <v>580</v>
      </c>
      <c r="G47" s="338">
        <f>[37]Розшиф!L77</f>
        <v>145</v>
      </c>
      <c r="H47" s="338">
        <f>[37]Розшиф!M77</f>
        <v>145</v>
      </c>
      <c r="I47" s="338">
        <f>[37]Розшиф!N77</f>
        <v>145</v>
      </c>
      <c r="J47" s="338">
        <f>[37]Розшиф!O77</f>
        <v>145</v>
      </c>
    </row>
    <row r="48" spans="1:10" s="2" customFormat="1" ht="36" customHeight="1">
      <c r="A48" s="58" t="s">
        <v>20</v>
      </c>
      <c r="B48" s="97">
        <v>1041</v>
      </c>
      <c r="C48" s="338">
        <f>[37]Розшиф!C78</f>
        <v>0</v>
      </c>
      <c r="D48" s="338">
        <f>[37]Розшиф!D78</f>
        <v>0</v>
      </c>
      <c r="E48" s="338">
        <f>[37]Розшиф!E78</f>
        <v>0</v>
      </c>
      <c r="F48" s="9">
        <f t="shared" si="5"/>
        <v>0</v>
      </c>
      <c r="G48" s="338">
        <f>[37]Розшиф!L78</f>
        <v>0</v>
      </c>
      <c r="H48" s="338">
        <f>[37]Розшиф!M78</f>
        <v>0</v>
      </c>
      <c r="I48" s="338">
        <f>[37]Розшиф!N78</f>
        <v>0</v>
      </c>
      <c r="J48" s="338">
        <f>[37]Розшиф!O78</f>
        <v>0</v>
      </c>
    </row>
    <row r="49" spans="1:10" s="2" customFormat="1" ht="20.100000000000001" customHeight="1">
      <c r="A49" s="58" t="s">
        <v>21</v>
      </c>
      <c r="B49" s="97">
        <v>1042</v>
      </c>
      <c r="C49" s="338">
        <f>[37]Розшиф!C79</f>
        <v>0</v>
      </c>
      <c r="D49" s="338">
        <f>[37]Розшиф!D79</f>
        <v>0</v>
      </c>
      <c r="E49" s="338">
        <f>[37]Розшиф!E79</f>
        <v>0</v>
      </c>
      <c r="F49" s="9">
        <f t="shared" si="5"/>
        <v>0</v>
      </c>
      <c r="G49" s="338">
        <f>[37]Розшиф!L79</f>
        <v>0</v>
      </c>
      <c r="H49" s="338">
        <f>[37]Розшиф!M79</f>
        <v>0</v>
      </c>
      <c r="I49" s="338">
        <f>[37]Розшиф!N79</f>
        <v>0</v>
      </c>
      <c r="J49" s="338">
        <f>[37]Розшиф!O79</f>
        <v>0</v>
      </c>
    </row>
    <row r="50" spans="1:10" s="2" customFormat="1" ht="20.100000000000001" customHeight="1">
      <c r="A50" s="58" t="s">
        <v>22</v>
      </c>
      <c r="B50" s="97">
        <v>1043</v>
      </c>
      <c r="C50" s="338">
        <f>[37]Розшиф!C80</f>
        <v>0</v>
      </c>
      <c r="D50" s="338">
        <f>[37]Розшиф!D80</f>
        <v>0</v>
      </c>
      <c r="E50" s="338">
        <f>[37]Розшиф!E80</f>
        <v>0</v>
      </c>
      <c r="F50" s="9">
        <f t="shared" si="5"/>
        <v>0</v>
      </c>
      <c r="G50" s="338">
        <f>[37]Розшиф!L80</f>
        <v>0</v>
      </c>
      <c r="H50" s="338">
        <f>[37]Розшиф!M80</f>
        <v>0</v>
      </c>
      <c r="I50" s="338">
        <f>[37]Розшиф!N80</f>
        <v>0</v>
      </c>
      <c r="J50" s="338">
        <f>[37]Розшиф!O80</f>
        <v>0</v>
      </c>
    </row>
    <row r="51" spans="1:10" s="2" customFormat="1" ht="20.100000000000001" customHeight="1">
      <c r="A51" s="58" t="s">
        <v>158</v>
      </c>
      <c r="B51" s="97">
        <v>1044</v>
      </c>
      <c r="C51" s="338">
        <f>[37]Розшиф!C81</f>
        <v>0</v>
      </c>
      <c r="D51" s="338">
        <f>[37]Розшиф!D81</f>
        <v>0</v>
      </c>
      <c r="E51" s="338">
        <f>[37]Розшиф!E81</f>
        <v>0</v>
      </c>
      <c r="F51" s="9">
        <f t="shared" si="5"/>
        <v>0</v>
      </c>
      <c r="G51" s="338">
        <f>[37]Розшиф!L81</f>
        <v>0</v>
      </c>
      <c r="H51" s="338">
        <f>[37]Розшиф!M81</f>
        <v>0</v>
      </c>
      <c r="I51" s="338">
        <f>[37]Розшиф!N81</f>
        <v>0</v>
      </c>
      <c r="J51" s="338">
        <f>[37]Розшиф!O81</f>
        <v>0</v>
      </c>
    </row>
    <row r="52" spans="1:10" s="2" customFormat="1" ht="20.100000000000001" customHeight="1">
      <c r="A52" s="58" t="s">
        <v>35</v>
      </c>
      <c r="B52" s="97">
        <v>1045</v>
      </c>
      <c r="C52" s="338">
        <f>[37]Розшиф!C82</f>
        <v>48.9</v>
      </c>
      <c r="D52" s="338">
        <f>[37]Розшиф!D82</f>
        <v>100</v>
      </c>
      <c r="E52" s="338">
        <f>[37]Розшиф!E82</f>
        <v>55.2</v>
      </c>
      <c r="F52" s="9">
        <f t="shared" si="5"/>
        <v>70</v>
      </c>
      <c r="G52" s="338">
        <f>[37]Розшиф!L82</f>
        <v>20</v>
      </c>
      <c r="H52" s="338">
        <f>[37]Розшиф!M82</f>
        <v>15</v>
      </c>
      <c r="I52" s="338">
        <f>[37]Розшиф!N82</f>
        <v>15</v>
      </c>
      <c r="J52" s="338">
        <f>[37]Розшиф!O82</f>
        <v>20</v>
      </c>
    </row>
    <row r="53" spans="1:10" s="2" customFormat="1" ht="20.100000000000001" customHeight="1">
      <c r="A53" s="58" t="s">
        <v>23</v>
      </c>
      <c r="B53" s="97">
        <v>1046</v>
      </c>
      <c r="C53" s="338">
        <f>[37]Розшиф!C83</f>
        <v>652.6</v>
      </c>
      <c r="D53" s="338">
        <f>[37]Розшиф!D83</f>
        <v>700</v>
      </c>
      <c r="E53" s="338">
        <f>[37]Розшиф!E83</f>
        <v>1179.7</v>
      </c>
      <c r="F53" s="9">
        <f t="shared" si="5"/>
        <v>1300</v>
      </c>
      <c r="G53" s="338">
        <f>[37]Розшиф!L83</f>
        <v>325</v>
      </c>
      <c r="H53" s="338">
        <f>[37]Розшиф!M83</f>
        <v>325</v>
      </c>
      <c r="I53" s="338">
        <f>[37]Розшиф!N83</f>
        <v>325</v>
      </c>
      <c r="J53" s="338">
        <f>[37]Розшиф!O83</f>
        <v>325</v>
      </c>
    </row>
    <row r="54" spans="1:10" s="2" customFormat="1" ht="20.100000000000001" customHeight="1">
      <c r="A54" s="58" t="s">
        <v>24</v>
      </c>
      <c r="B54" s="97">
        <v>1047</v>
      </c>
      <c r="C54" s="338">
        <f>[37]Розшиф!C84</f>
        <v>0</v>
      </c>
      <c r="D54" s="338">
        <f>[37]Розшиф!D84</f>
        <v>0</v>
      </c>
      <c r="E54" s="338">
        <f>[37]Розшиф!E84</f>
        <v>0</v>
      </c>
      <c r="F54" s="9">
        <f t="shared" si="5"/>
        <v>0</v>
      </c>
      <c r="G54" s="338">
        <f>[37]Розшиф!L84</f>
        <v>0</v>
      </c>
      <c r="H54" s="338">
        <f>[37]Розшиф!M84</f>
        <v>0</v>
      </c>
      <c r="I54" s="338">
        <f>[37]Розшиф!N84</f>
        <v>0</v>
      </c>
      <c r="J54" s="338">
        <f>[37]Розшиф!O84</f>
        <v>0</v>
      </c>
    </row>
    <row r="55" spans="1:10" s="2" customFormat="1" ht="20.100000000000001" customHeight="1">
      <c r="A55" s="58" t="s">
        <v>25</v>
      </c>
      <c r="B55" s="97">
        <v>1048</v>
      </c>
      <c r="C55" s="338">
        <f>[37]Розшиф!C85</f>
        <v>28.2</v>
      </c>
      <c r="D55" s="338">
        <f>[37]Розшиф!D85</f>
        <v>50</v>
      </c>
      <c r="E55" s="338">
        <f>[37]Розшиф!E85</f>
        <v>29.6</v>
      </c>
      <c r="F55" s="9">
        <f t="shared" si="5"/>
        <v>30</v>
      </c>
      <c r="G55" s="338">
        <f>[37]Розшиф!L85</f>
        <v>5</v>
      </c>
      <c r="H55" s="338">
        <f>[37]Розшиф!M85</f>
        <v>5</v>
      </c>
      <c r="I55" s="338">
        <f>[37]Розшиф!N85</f>
        <v>5</v>
      </c>
      <c r="J55" s="338">
        <f>[37]Розшиф!O85</f>
        <v>15</v>
      </c>
    </row>
    <row r="56" spans="1:10" s="2" customFormat="1" ht="20.100000000000001" customHeight="1">
      <c r="A56" s="58" t="s">
        <v>159</v>
      </c>
      <c r="B56" s="97">
        <v>1049</v>
      </c>
      <c r="C56" s="338">
        <f>[37]Розшиф!C86</f>
        <v>60.8</v>
      </c>
      <c r="D56" s="338">
        <f>[37]Розшиф!D86</f>
        <v>3.7</v>
      </c>
      <c r="E56" s="338">
        <f>[37]Розшиф!E86</f>
        <v>6</v>
      </c>
      <c r="F56" s="9">
        <f t="shared" si="5"/>
        <v>7.8</v>
      </c>
      <c r="G56" s="338">
        <f>[37]Розшиф!L86</f>
        <v>1.95</v>
      </c>
      <c r="H56" s="338">
        <f>[37]Розшиф!M86</f>
        <v>1.95</v>
      </c>
      <c r="I56" s="338">
        <f>[37]Розшиф!N86</f>
        <v>1.95</v>
      </c>
      <c r="J56" s="338">
        <f>[37]Розшиф!O86</f>
        <v>1.95</v>
      </c>
    </row>
    <row r="57" spans="1:10" s="2" customFormat="1" ht="42.75" customHeight="1">
      <c r="A57" s="58" t="s">
        <v>160</v>
      </c>
      <c r="B57" s="97">
        <v>1050</v>
      </c>
      <c r="C57" s="338">
        <f>[37]Розшиф!C87+[37]Розшиф!C88</f>
        <v>199.6</v>
      </c>
      <c r="D57" s="338">
        <f>[37]Розшиф!D87+[37]Розшиф!D88</f>
        <v>148</v>
      </c>
      <c r="E57" s="338">
        <f>[37]Розшиф!E87+[37]Розшиф!E88</f>
        <v>115</v>
      </c>
      <c r="F57" s="9">
        <f t="shared" si="5"/>
        <v>130</v>
      </c>
      <c r="G57" s="338">
        <f>[37]Розшиф!L87+[37]Розшиф!L88</f>
        <v>35</v>
      </c>
      <c r="H57" s="338">
        <f>[37]Розшиф!M87+[37]Розшиф!M88</f>
        <v>25</v>
      </c>
      <c r="I57" s="338">
        <f>[37]Розшиф!N87+[37]Розшиф!N88</f>
        <v>25</v>
      </c>
      <c r="J57" s="338">
        <f>[37]Розшиф!O87+[37]Розшиф!O88</f>
        <v>45</v>
      </c>
    </row>
    <row r="58" spans="1:10" s="70" customFormat="1" ht="20.100000000000001" customHeight="1">
      <c r="A58" s="79" t="s">
        <v>471</v>
      </c>
      <c r="B58" s="110" t="s">
        <v>161</v>
      </c>
      <c r="C58" s="339">
        <f>[37]Розшиф!C88</f>
        <v>50.6</v>
      </c>
      <c r="D58" s="339">
        <f>[37]Розшиф!D88</f>
        <v>100</v>
      </c>
      <c r="E58" s="339">
        <f>[37]Розшиф!E88</f>
        <v>62.3</v>
      </c>
      <c r="F58" s="340">
        <f t="shared" si="5"/>
        <v>65</v>
      </c>
      <c r="G58" s="339">
        <f>[37]Розшиф!L88</f>
        <v>15</v>
      </c>
      <c r="H58" s="339">
        <f>[37]Розшиф!M88</f>
        <v>15</v>
      </c>
      <c r="I58" s="339">
        <f>[37]Розшиф!N88</f>
        <v>15</v>
      </c>
      <c r="J58" s="339">
        <f>[37]Розшиф!O88</f>
        <v>20</v>
      </c>
    </row>
    <row r="59" spans="1:10" s="12" customFormat="1" ht="20.100000000000001" customHeight="1">
      <c r="A59" s="310" t="s">
        <v>403</v>
      </c>
      <c r="B59" s="111">
        <v>1051</v>
      </c>
      <c r="C59" s="341">
        <f>SUM(C60:C70)</f>
        <v>1384.2239999999999</v>
      </c>
      <c r="D59" s="341">
        <f>SUM(D60:D70)</f>
        <v>1768.9245999999998</v>
      </c>
      <c r="E59" s="341">
        <f>SUM(E60:E70)</f>
        <v>2833.7462500000006</v>
      </c>
      <c r="F59" s="44">
        <f t="shared" si="5"/>
        <v>2285.8049999999998</v>
      </c>
      <c r="G59" s="341">
        <f>SUM(G60:G70)</f>
        <v>590.02499999999998</v>
      </c>
      <c r="H59" s="341">
        <f>SUM(H60:H70)</f>
        <v>536.41000000000008</v>
      </c>
      <c r="I59" s="341">
        <f>SUM(I60:I70)</f>
        <v>581.93499999999995</v>
      </c>
      <c r="J59" s="341">
        <f>SUM(J60:J70)</f>
        <v>577.43499999999995</v>
      </c>
    </row>
    <row r="60" spans="1:10" s="2" customFormat="1" ht="20.100000000000001" customHeight="1">
      <c r="A60" s="116" t="s">
        <v>331</v>
      </c>
      <c r="B60" s="122" t="s">
        <v>391</v>
      </c>
      <c r="C60" s="123">
        <f>[37]Розшиф!C90</f>
        <v>139.4</v>
      </c>
      <c r="D60" s="123">
        <f>[37]Розшиф!D90</f>
        <v>211.3</v>
      </c>
      <c r="E60" s="123">
        <f>[37]Розшиф!E90</f>
        <v>140.35000000000002</v>
      </c>
      <c r="F60" s="9">
        <f t="shared" si="5"/>
        <v>173.5</v>
      </c>
      <c r="G60" s="123">
        <f>[37]Розшиф!L90</f>
        <v>43.375</v>
      </c>
      <c r="H60" s="123">
        <f>[37]Розшиф!M90</f>
        <v>43.375</v>
      </c>
      <c r="I60" s="123">
        <f>[37]Розшиф!N90</f>
        <v>43.375</v>
      </c>
      <c r="J60" s="123">
        <f>[37]Розшиф!O90</f>
        <v>43.375</v>
      </c>
    </row>
    <row r="61" spans="1:10" s="2" customFormat="1" ht="20.100000000000001" customHeight="1">
      <c r="A61" s="116" t="s">
        <v>336</v>
      </c>
      <c r="B61" s="122" t="s">
        <v>392</v>
      </c>
      <c r="C61" s="123">
        <f>[37]Розшиф!C91</f>
        <v>116.69999999999999</v>
      </c>
      <c r="D61" s="123">
        <f>[37]Розшиф!D91</f>
        <v>118.3925</v>
      </c>
      <c r="E61" s="123">
        <f>[37]Розшиф!E91</f>
        <v>118.39624999999999</v>
      </c>
      <c r="F61" s="9">
        <f t="shared" si="5"/>
        <v>130.24</v>
      </c>
      <c r="G61" s="123">
        <f>[37]Розшиф!L91</f>
        <v>32.56</v>
      </c>
      <c r="H61" s="123">
        <f>[37]Розшиф!M91</f>
        <v>32.56</v>
      </c>
      <c r="I61" s="123">
        <f>[37]Розшиф!N91</f>
        <v>32.56</v>
      </c>
      <c r="J61" s="123">
        <f>[37]Розшиф!O91</f>
        <v>32.56</v>
      </c>
    </row>
    <row r="62" spans="1:10" s="2" customFormat="1" ht="20.100000000000001" customHeight="1">
      <c r="A62" s="116" t="s">
        <v>333</v>
      </c>
      <c r="B62" s="122" t="s">
        <v>393</v>
      </c>
      <c r="C62" s="123">
        <f>[37]Розшиф!C92</f>
        <v>16</v>
      </c>
      <c r="D62" s="123">
        <f>[37]Розшиф!D92</f>
        <v>6</v>
      </c>
      <c r="E62" s="123">
        <f>[37]Розшиф!E92</f>
        <v>16</v>
      </c>
      <c r="F62" s="9">
        <f t="shared" si="5"/>
        <v>21</v>
      </c>
      <c r="G62" s="123">
        <f>[37]Розшиф!L92</f>
        <v>5.25</v>
      </c>
      <c r="H62" s="123">
        <f>[37]Розшиф!M92</f>
        <v>5.25</v>
      </c>
      <c r="I62" s="123">
        <f>[37]Розшиф!N92</f>
        <v>5.25</v>
      </c>
      <c r="J62" s="123">
        <f>[37]Розшиф!O92</f>
        <v>5.25</v>
      </c>
    </row>
    <row r="63" spans="1:10" s="2" customFormat="1" ht="20.100000000000001" customHeight="1">
      <c r="A63" s="116" t="s">
        <v>339</v>
      </c>
      <c r="B63" s="122" t="s">
        <v>394</v>
      </c>
      <c r="C63" s="123">
        <f>[37]Розшиф!C93</f>
        <v>48.5</v>
      </c>
      <c r="D63" s="123">
        <f>[37]Розшиф!D93</f>
        <v>40</v>
      </c>
      <c r="E63" s="123">
        <f>[37]Розшиф!E93</f>
        <v>90.9</v>
      </c>
      <c r="F63" s="9">
        <f t="shared" si="5"/>
        <v>91</v>
      </c>
      <c r="G63" s="123">
        <f>[37]Розшиф!L93</f>
        <v>46</v>
      </c>
      <c r="H63" s="123">
        <f>[37]Розшиф!M93</f>
        <v>0</v>
      </c>
      <c r="I63" s="123">
        <f>[37]Розшиф!N93</f>
        <v>45</v>
      </c>
      <c r="J63" s="123">
        <f>[37]Розшиф!O93</f>
        <v>0</v>
      </c>
    </row>
    <row r="64" spans="1:10" s="2" customFormat="1" ht="20.100000000000001" customHeight="1">
      <c r="A64" s="116" t="s">
        <v>330</v>
      </c>
      <c r="B64" s="122" t="s">
        <v>395</v>
      </c>
      <c r="C64" s="123">
        <f>[37]Розшиф!C94</f>
        <v>15.8</v>
      </c>
      <c r="D64" s="123">
        <f>[37]Розшиф!D94</f>
        <v>65</v>
      </c>
      <c r="E64" s="123">
        <f>[37]Розшиф!E94</f>
        <v>65</v>
      </c>
      <c r="F64" s="9">
        <f t="shared" si="5"/>
        <v>70.2</v>
      </c>
      <c r="G64" s="123">
        <f>[37]Розшиф!L94</f>
        <v>17.55</v>
      </c>
      <c r="H64" s="123">
        <f>[37]Розшиф!M94</f>
        <v>17.55</v>
      </c>
      <c r="I64" s="123">
        <f>[37]Розшиф!N94</f>
        <v>17.55</v>
      </c>
      <c r="J64" s="123">
        <f>[37]Розшиф!O94</f>
        <v>17.55</v>
      </c>
    </row>
    <row r="65" spans="1:10" s="2" customFormat="1" ht="20.100000000000001" customHeight="1">
      <c r="A65" s="116" t="s">
        <v>334</v>
      </c>
      <c r="B65" s="122" t="s">
        <v>396</v>
      </c>
      <c r="C65" s="123">
        <f>[37]Розшиф!C95</f>
        <v>27.5</v>
      </c>
      <c r="D65" s="123">
        <f>[37]Розшиф!D95</f>
        <v>184.72409999999999</v>
      </c>
      <c r="E65" s="123">
        <f>[37]Розшиф!E95</f>
        <v>43.6</v>
      </c>
      <c r="F65" s="9">
        <f t="shared" si="5"/>
        <v>54.8</v>
      </c>
      <c r="G65" s="123">
        <f>[37]Розшиф!L95</f>
        <v>13.7</v>
      </c>
      <c r="H65" s="123">
        <f>[37]Розшиф!M95</f>
        <v>13.7</v>
      </c>
      <c r="I65" s="123">
        <f>[37]Розшиф!N95</f>
        <v>13.7</v>
      </c>
      <c r="J65" s="123">
        <f>[37]Розшиф!O95</f>
        <v>13.7</v>
      </c>
    </row>
    <row r="66" spans="1:10" s="2" customFormat="1" ht="20.100000000000001" customHeight="1">
      <c r="A66" s="116" t="s">
        <v>338</v>
      </c>
      <c r="B66" s="122" t="s">
        <v>397</v>
      </c>
      <c r="C66" s="123">
        <f>[37]Розшиф!C96</f>
        <v>163.82399999999998</v>
      </c>
      <c r="D66" s="123">
        <f>[37]Розшиф!D96</f>
        <v>200</v>
      </c>
      <c r="E66" s="123">
        <f>[37]Розшиф!E96</f>
        <v>271.10000000000002</v>
      </c>
      <c r="F66" s="9">
        <f t="shared" si="5"/>
        <v>360</v>
      </c>
      <c r="G66" s="123">
        <f>[37]Розшиф!L96</f>
        <v>90</v>
      </c>
      <c r="H66" s="123">
        <f>[37]Розшиф!M96</f>
        <v>90</v>
      </c>
      <c r="I66" s="123">
        <f>[37]Розшиф!N96</f>
        <v>90</v>
      </c>
      <c r="J66" s="123">
        <f>[37]Розшиф!O96</f>
        <v>90</v>
      </c>
    </row>
    <row r="67" spans="1:10" s="2" customFormat="1" ht="20.100000000000001" customHeight="1">
      <c r="A67" s="116" t="s">
        <v>332</v>
      </c>
      <c r="B67" s="122" t="s">
        <v>398</v>
      </c>
      <c r="C67" s="123">
        <f>[37]Розшиф!C97</f>
        <v>66.900000000000006</v>
      </c>
      <c r="D67" s="123">
        <f>[37]Розшиф!D97</f>
        <v>39.284999999999997</v>
      </c>
      <c r="E67" s="123">
        <f>[37]Розшиф!E97</f>
        <v>61.9</v>
      </c>
      <c r="F67" s="9">
        <f t="shared" si="5"/>
        <v>66</v>
      </c>
      <c r="G67" s="123">
        <f>[37]Розшиф!L97</f>
        <v>16</v>
      </c>
      <c r="H67" s="123">
        <f>[37]Розшиф!M97</f>
        <v>15</v>
      </c>
      <c r="I67" s="123">
        <f>[37]Розшиф!N97</f>
        <v>15</v>
      </c>
      <c r="J67" s="123">
        <f>[37]Розшиф!O97</f>
        <v>20</v>
      </c>
    </row>
    <row r="68" spans="1:10" s="2" customFormat="1" ht="20.100000000000001" customHeight="1">
      <c r="A68" s="116" t="s">
        <v>337</v>
      </c>
      <c r="B68" s="122" t="s">
        <v>399</v>
      </c>
      <c r="C68" s="123">
        <f>[37]Розшиф!C98</f>
        <v>325.2</v>
      </c>
      <c r="D68" s="123">
        <f>[37]Розшиф!D98</f>
        <v>320</v>
      </c>
      <c r="E68" s="123">
        <f>[37]Розшиф!E98</f>
        <v>375.3</v>
      </c>
      <c r="F68" s="9">
        <f t="shared" si="5"/>
        <v>394.065</v>
      </c>
      <c r="G68" s="123">
        <f>[37]Розшиф!L98</f>
        <v>100.59</v>
      </c>
      <c r="H68" s="123">
        <f>[37]Розшиф!M98</f>
        <v>93.975000000000009</v>
      </c>
      <c r="I68" s="123">
        <f>[37]Розшиф!N98</f>
        <v>94.5</v>
      </c>
      <c r="J68" s="123">
        <f>[37]Розшиф!O98</f>
        <v>105</v>
      </c>
    </row>
    <row r="69" spans="1:10" s="2" customFormat="1" ht="20.100000000000001" customHeight="1">
      <c r="A69" s="116" t="s">
        <v>335</v>
      </c>
      <c r="B69" s="122" t="s">
        <v>400</v>
      </c>
      <c r="C69" s="123">
        <f>[37]Розшиф!C99</f>
        <v>158.10000000000002</v>
      </c>
      <c r="D69" s="123">
        <f>[37]Розшиф!D99</f>
        <v>300</v>
      </c>
      <c r="E69" s="123">
        <f>[37]Розшиф!E99</f>
        <v>1341.2</v>
      </c>
      <c r="F69" s="9">
        <f t="shared" si="5"/>
        <v>600</v>
      </c>
      <c r="G69" s="123">
        <f>[37]Розшиф!L99</f>
        <v>150</v>
      </c>
      <c r="H69" s="123">
        <f>[37]Розшиф!M99</f>
        <v>150</v>
      </c>
      <c r="I69" s="123">
        <f>[37]Розшиф!N99</f>
        <v>150</v>
      </c>
      <c r="J69" s="123">
        <f>[37]Розшиф!O99</f>
        <v>150</v>
      </c>
    </row>
    <row r="70" spans="1:10" s="2" customFormat="1" ht="20.100000000000001" customHeight="1">
      <c r="A70" s="116" t="s">
        <v>340</v>
      </c>
      <c r="B70" s="122" t="s">
        <v>401</v>
      </c>
      <c r="C70" s="123">
        <f>[37]Розшиф!C100</f>
        <v>306.29999999999995</v>
      </c>
      <c r="D70" s="123">
        <f>[37]Розшиф!D100</f>
        <v>284.22300000000001</v>
      </c>
      <c r="E70" s="123">
        <f>[37]Розшиф!E100</f>
        <v>310.00000000000034</v>
      </c>
      <c r="F70" s="9">
        <f>SUM(G70:J70)</f>
        <v>325</v>
      </c>
      <c r="G70" s="123">
        <f>[37]Розшиф!L100</f>
        <v>75</v>
      </c>
      <c r="H70" s="123">
        <f>[37]Розшиф!M100</f>
        <v>75</v>
      </c>
      <c r="I70" s="123">
        <f>[37]Розшиф!N100</f>
        <v>75</v>
      </c>
      <c r="J70" s="123">
        <f>[37]Розшиф!O100</f>
        <v>100</v>
      </c>
    </row>
    <row r="71" spans="1:10" s="83" customFormat="1" ht="20.100000000000001" customHeight="1">
      <c r="A71" s="59" t="s">
        <v>86</v>
      </c>
      <c r="B71" s="98">
        <v>1060</v>
      </c>
      <c r="C71" s="60">
        <f>C72+C73+C74+C75+C76+C77+C78</f>
        <v>7242.8849999999993</v>
      </c>
      <c r="D71" s="60">
        <f>D72+D73+D74+D75+D76+D77+D78</f>
        <v>11058.958259999998</v>
      </c>
      <c r="E71" s="60">
        <f>[37]Розшиф!E101</f>
        <v>11091.098297280452</v>
      </c>
      <c r="F71" s="60">
        <f>SUM(G71:J71)</f>
        <v>17840.193189121805</v>
      </c>
      <c r="G71" s="60">
        <f>[37]Розшиф!L101</f>
        <v>4460.0482972804512</v>
      </c>
      <c r="H71" s="60">
        <f>[37]Розшиф!M101</f>
        <v>4460.0482972804512</v>
      </c>
      <c r="I71" s="60">
        <f>[37]Розшиф!N101</f>
        <v>4460.0482972804512</v>
      </c>
      <c r="J71" s="60">
        <f>[37]Розшиф!O101</f>
        <v>4460.0482972804512</v>
      </c>
    </row>
    <row r="72" spans="1:10" s="2" customFormat="1" ht="20.100000000000001" customHeight="1">
      <c r="A72" s="8" t="s">
        <v>70</v>
      </c>
      <c r="B72" s="99">
        <v>1061</v>
      </c>
      <c r="C72" s="45">
        <f>[37]Розшиф!C102</f>
        <v>0</v>
      </c>
      <c r="D72" s="45">
        <f>[37]Розшиф!D102</f>
        <v>0</v>
      </c>
      <c r="E72" s="45">
        <f>[37]Розшиф!E102</f>
        <v>0</v>
      </c>
      <c r="F72" s="9">
        <f>SUM(G72:J72)</f>
        <v>0</v>
      </c>
      <c r="G72" s="45">
        <f>[37]Розшиф!L102</f>
        <v>0</v>
      </c>
      <c r="H72" s="45">
        <f>[37]Розшиф!M102</f>
        <v>0</v>
      </c>
      <c r="I72" s="45">
        <f>[37]Розшиф!N102</f>
        <v>0</v>
      </c>
      <c r="J72" s="45">
        <f>[37]Розшиф!O102</f>
        <v>0</v>
      </c>
    </row>
    <row r="73" spans="1:10" s="2" customFormat="1" ht="20.100000000000001" customHeight="1">
      <c r="A73" s="8" t="s">
        <v>71</v>
      </c>
      <c r="B73" s="99">
        <v>1062</v>
      </c>
      <c r="C73" s="45">
        <f>[37]Розшиф!C103</f>
        <v>0</v>
      </c>
      <c r="D73" s="45">
        <f>[37]Розшиф!D103</f>
        <v>0</v>
      </c>
      <c r="E73" s="45">
        <f>[37]Розшиф!E103</f>
        <v>0</v>
      </c>
      <c r="F73" s="9">
        <f t="shared" ref="F73:F77" si="6">SUM(G73:J73)</f>
        <v>0</v>
      </c>
      <c r="G73" s="45">
        <f>[37]Розшиф!L103</f>
        <v>0</v>
      </c>
      <c r="H73" s="45">
        <f>[37]Розшиф!M103</f>
        <v>0</v>
      </c>
      <c r="I73" s="45">
        <f>[37]Розшиф!N103</f>
        <v>0</v>
      </c>
      <c r="J73" s="45">
        <f>[37]Розшиф!O103</f>
        <v>0</v>
      </c>
    </row>
    <row r="74" spans="1:10" s="84" customFormat="1" ht="20.100000000000001" customHeight="1">
      <c r="A74" s="89" t="s">
        <v>17</v>
      </c>
      <c r="B74" s="238">
        <v>1063</v>
      </c>
      <c r="C74" s="239">
        <f>[37]Розшиф!C104</f>
        <v>4142.875</v>
      </c>
      <c r="D74" s="239">
        <f>[37]Розшиф!D104</f>
        <v>6162.3329999999996</v>
      </c>
      <c r="E74" s="239">
        <f>[37]Розшиф!E104</f>
        <v>6104.7223684426226</v>
      </c>
      <c r="F74" s="90">
        <f t="shared" si="6"/>
        <v>9342.33</v>
      </c>
      <c r="G74" s="239">
        <f>[37]Розшиф!L104</f>
        <v>2135.5825</v>
      </c>
      <c r="H74" s="239">
        <f>[37]Розшиф!M104</f>
        <v>2135.5825</v>
      </c>
      <c r="I74" s="239">
        <f>[37]Розшиф!N104</f>
        <v>2235.5825</v>
      </c>
      <c r="J74" s="239">
        <f>[37]Розшиф!O104</f>
        <v>2835.5825</v>
      </c>
    </row>
    <row r="75" spans="1:10" s="84" customFormat="1" ht="20.100000000000001" customHeight="1">
      <c r="A75" s="89" t="s">
        <v>18</v>
      </c>
      <c r="B75" s="238">
        <v>1064</v>
      </c>
      <c r="C75" s="239">
        <f>[37]Розшиф!C105</f>
        <v>851.9</v>
      </c>
      <c r="D75" s="239">
        <f>[37]Розшиф!D105</f>
        <v>1355.71326</v>
      </c>
      <c r="E75" s="239">
        <f>[37]Розшиф!E105</f>
        <v>1269.8149210573772</v>
      </c>
      <c r="F75" s="90">
        <f t="shared" si="6"/>
        <v>2055.3126000000002</v>
      </c>
      <c r="G75" s="239">
        <f>[37]Розшиф!L105</f>
        <v>469.82814999999999</v>
      </c>
      <c r="H75" s="239">
        <f>[37]Розшиф!M105</f>
        <v>469.82814999999999</v>
      </c>
      <c r="I75" s="239">
        <f>[37]Розшиф!N105</f>
        <v>491.82814999999999</v>
      </c>
      <c r="J75" s="239">
        <f>[37]Розшиф!O105</f>
        <v>623.82815000000005</v>
      </c>
    </row>
    <row r="76" spans="1:10" s="84" customFormat="1" ht="20.100000000000001" customHeight="1">
      <c r="A76" s="89" t="s">
        <v>32</v>
      </c>
      <c r="B76" s="238">
        <v>1065</v>
      </c>
      <c r="C76" s="239">
        <f>[37]Розшиф!C106</f>
        <v>62.980000000000004</v>
      </c>
      <c r="D76" s="239">
        <f>[37]Розшиф!D106</f>
        <v>36</v>
      </c>
      <c r="E76" s="239">
        <f>[37]Розшиф!E106</f>
        <v>63.3</v>
      </c>
      <c r="F76" s="90">
        <f t="shared" si="6"/>
        <v>60</v>
      </c>
      <c r="G76" s="239">
        <f>[37]Розшиф!L106</f>
        <v>15</v>
      </c>
      <c r="H76" s="239">
        <f>[37]Розшиф!M106</f>
        <v>15</v>
      </c>
      <c r="I76" s="239">
        <f>[37]Розшиф!N106</f>
        <v>15</v>
      </c>
      <c r="J76" s="239">
        <f>[37]Розшиф!O106</f>
        <v>15</v>
      </c>
    </row>
    <row r="77" spans="1:10" s="84" customFormat="1" ht="20.100000000000001" customHeight="1">
      <c r="A77" s="89" t="s">
        <v>42</v>
      </c>
      <c r="B77" s="238">
        <v>1066</v>
      </c>
      <c r="C77" s="239">
        <f>[37]Розшиф!C107</f>
        <v>0</v>
      </c>
      <c r="D77" s="239">
        <f>[37]Розшиф!D107</f>
        <v>0</v>
      </c>
      <c r="E77" s="239">
        <f>[37]Розшиф!E107</f>
        <v>0</v>
      </c>
      <c r="F77" s="90">
        <f t="shared" si="6"/>
        <v>0</v>
      </c>
      <c r="G77" s="239">
        <f>[37]Розшиф!L107</f>
        <v>0</v>
      </c>
      <c r="H77" s="239">
        <f>[37]Розшиф!M107</f>
        <v>0</v>
      </c>
      <c r="I77" s="239">
        <f>[37]Розшиф!N107</f>
        <v>0</v>
      </c>
      <c r="J77" s="239">
        <f>[37]Розшиф!O107</f>
        <v>0</v>
      </c>
    </row>
    <row r="78" spans="1:10" s="2" customFormat="1" ht="19.5" customHeight="1">
      <c r="A78" s="172" t="s">
        <v>516</v>
      </c>
      <c r="B78" s="104">
        <v>1067</v>
      </c>
      <c r="C78" s="237">
        <f>[37]Розшиф!C101-C72-C73-C74-C75-C76-C77</f>
        <v>2185.13</v>
      </c>
      <c r="D78" s="237">
        <f>[37]Розшиф!D101-D72-D73-D74-D75-D76-D77</f>
        <v>3504.911999999998</v>
      </c>
      <c r="E78" s="237">
        <f>E71-E74-E75-E76</f>
        <v>3653.261007780452</v>
      </c>
      <c r="F78" s="90">
        <f>SUM(G78:J78)</f>
        <v>6382.5505891218045</v>
      </c>
      <c r="G78" s="237">
        <f>G71-G74-G75-G76</f>
        <v>1839.6376472804511</v>
      </c>
      <c r="H78" s="237">
        <f t="shared" ref="H78:J78" si="7">H71-H74-H75-H76</f>
        <v>1839.6376472804511</v>
      </c>
      <c r="I78" s="237">
        <f t="shared" si="7"/>
        <v>1717.6376472804511</v>
      </c>
      <c r="J78" s="237">
        <f t="shared" si="7"/>
        <v>985.63764728045112</v>
      </c>
    </row>
    <row r="79" spans="1:10" s="84" customFormat="1" ht="19.5" customHeight="1">
      <c r="A79" s="85" t="s">
        <v>162</v>
      </c>
      <c r="B79" s="100">
        <v>1070</v>
      </c>
      <c r="C79" s="342">
        <f>SUM(C80:C82)+C98</f>
        <v>69898.460000000006</v>
      </c>
      <c r="D79" s="342">
        <f t="shared" ref="D79" si="8">SUM(D80:D82)+D98</f>
        <v>58703.784109601926</v>
      </c>
      <c r="E79" s="342">
        <f>SUM(E80:E82)+E98</f>
        <v>89582.043450448822</v>
      </c>
      <c r="F79" s="343">
        <f>SUM(G79:J79)</f>
        <v>217393.03678672749</v>
      </c>
      <c r="G79" s="342">
        <f t="shared" ref="G79" si="9">SUM(G80:G82)+G98</f>
        <v>54479.279090956879</v>
      </c>
      <c r="H79" s="342">
        <f t="shared" ref="H79" si="10">SUM(H80:H82)+H98</f>
        <v>54235.684990956877</v>
      </c>
      <c r="I79" s="342">
        <f t="shared" ref="I79" si="11">SUM(I80:I82)+I98</f>
        <v>54030.349750956877</v>
      </c>
      <c r="J79" s="342">
        <f t="shared" ref="J79" si="12">SUM(J80:J82)+J98</f>
        <v>54647.722953856879</v>
      </c>
    </row>
    <row r="80" spans="1:10" s="2" customFormat="1" ht="19.5" customHeight="1">
      <c r="A80" s="58" t="s">
        <v>434</v>
      </c>
      <c r="B80" s="97">
        <v>1071</v>
      </c>
      <c r="C80" s="344">
        <f>[37]Розшиф!C11</f>
        <v>66.3</v>
      </c>
      <c r="D80" s="344">
        <f>[37]Розшиф!D11</f>
        <v>0</v>
      </c>
      <c r="E80" s="344">
        <f>[37]Розшиф!E11</f>
        <v>52.2</v>
      </c>
      <c r="F80" s="9">
        <f t="shared" ref="F80:F81" si="13">SUM(G80:J80)</f>
        <v>0</v>
      </c>
      <c r="G80" s="344">
        <f>[37]Розшиф!L11</f>
        <v>0</v>
      </c>
      <c r="H80" s="344">
        <f>[37]Розшиф!M11</f>
        <v>0</v>
      </c>
      <c r="I80" s="344">
        <f>[37]Розшиф!N11</f>
        <v>0</v>
      </c>
      <c r="J80" s="344">
        <f>[37]Розшиф!O11</f>
        <v>0</v>
      </c>
    </row>
    <row r="81" spans="1:10" s="2" customFormat="1" ht="19.5" customHeight="1">
      <c r="A81" s="58" t="s">
        <v>431</v>
      </c>
      <c r="B81" s="97">
        <v>1072</v>
      </c>
      <c r="C81" s="344">
        <f>[37]Розшиф!C12</f>
        <v>0</v>
      </c>
      <c r="D81" s="344">
        <f>[37]Розшиф!D12</f>
        <v>0</v>
      </c>
      <c r="E81" s="344">
        <f>[37]Розшиф!E12</f>
        <v>0</v>
      </c>
      <c r="F81" s="9">
        <f t="shared" si="13"/>
        <v>0</v>
      </c>
      <c r="G81" s="344">
        <f>[37]Розшиф!L12</f>
        <v>0</v>
      </c>
      <c r="H81" s="344">
        <f>[37]Розшиф!M12</f>
        <v>0</v>
      </c>
      <c r="I81" s="344">
        <f>[37]Розшиф!N12</f>
        <v>0</v>
      </c>
      <c r="J81" s="344">
        <f>[37]Розшиф!O12</f>
        <v>0</v>
      </c>
    </row>
    <row r="82" spans="1:10" s="12" customFormat="1" ht="19.5" customHeight="1">
      <c r="A82" s="310" t="s">
        <v>430</v>
      </c>
      <c r="B82" s="111">
        <v>1073</v>
      </c>
      <c r="C82" s="112">
        <f>SUM(C83:C97)</f>
        <v>69832.160000000003</v>
      </c>
      <c r="D82" s="112">
        <f t="shared" ref="D82" si="14">SUM(D83:D97)</f>
        <v>58703.784109601926</v>
      </c>
      <c r="E82" s="112">
        <f>SUM(E83:E97)</f>
        <v>65130.543450448829</v>
      </c>
      <c r="F82" s="345">
        <f>SUM(F83:F97)</f>
        <v>69936.442786727508</v>
      </c>
      <c r="G82" s="112">
        <f>SUM(G83:G97)</f>
        <v>17615.130590956876</v>
      </c>
      <c r="H82" s="112">
        <f t="shared" ref="H82:J82" si="15">SUM(H83:H97)</f>
        <v>17371.536490956874</v>
      </c>
      <c r="I82" s="112">
        <f t="shared" si="15"/>
        <v>17166.201250956874</v>
      </c>
      <c r="J82" s="112">
        <f t="shared" si="15"/>
        <v>17783.57445385688</v>
      </c>
    </row>
    <row r="83" spans="1:10" s="2" customFormat="1" ht="19.5" customHeight="1">
      <c r="A83" s="346" t="s">
        <v>419</v>
      </c>
      <c r="B83" s="97" t="s">
        <v>406</v>
      </c>
      <c r="C83" s="113">
        <f>[37]Розшиф!C14</f>
        <v>196.3</v>
      </c>
      <c r="D83" s="113">
        <f>[37]Розшиф!D14</f>
        <v>240</v>
      </c>
      <c r="E83" s="113">
        <f>[37]Розшиф!E14</f>
        <v>209.7</v>
      </c>
      <c r="F83" s="347">
        <f t="shared" ref="F83:F97" si="16">SUM(G83:J83)</f>
        <v>210</v>
      </c>
      <c r="G83" s="113">
        <f>[37]Розшиф!L14</f>
        <v>70</v>
      </c>
      <c r="H83" s="113">
        <f>[37]Розшиф!M14</f>
        <v>20</v>
      </c>
      <c r="I83" s="113">
        <f>[37]Розшиф!N14</f>
        <v>20</v>
      </c>
      <c r="J83" s="113">
        <f>[37]Розшиф!O14</f>
        <v>100</v>
      </c>
    </row>
    <row r="84" spans="1:10" s="2" customFormat="1" ht="19.5" customHeight="1">
      <c r="A84" s="346" t="s">
        <v>420</v>
      </c>
      <c r="B84" s="97" t="s">
        <v>407</v>
      </c>
      <c r="C84" s="113">
        <f>[37]Розшиф!C15</f>
        <v>13762.46</v>
      </c>
      <c r="D84" s="113">
        <f>[37]Розшиф!D15</f>
        <v>9000</v>
      </c>
      <c r="E84" s="113">
        <f>[37]Розшиф!E15</f>
        <v>22871.01</v>
      </c>
      <c r="F84" s="347">
        <f t="shared" si="16"/>
        <v>23549.508000000002</v>
      </c>
      <c r="G84" s="113">
        <f>[37]Розшиф!L15</f>
        <v>5887.3770000000004</v>
      </c>
      <c r="H84" s="113">
        <f>[37]Розшиф!M15</f>
        <v>5887.3770000000004</v>
      </c>
      <c r="I84" s="113">
        <f>[37]Розшиф!N15</f>
        <v>5887.3770000000004</v>
      </c>
      <c r="J84" s="113">
        <f>[37]Розшиф!O15</f>
        <v>5887.3770000000004</v>
      </c>
    </row>
    <row r="85" spans="1:10" s="2" customFormat="1" ht="19.5" customHeight="1">
      <c r="A85" s="346" t="s">
        <v>421</v>
      </c>
      <c r="B85" s="97" t="s">
        <v>408</v>
      </c>
      <c r="C85" s="113">
        <f>[37]Розшиф!C16</f>
        <v>972.1</v>
      </c>
      <c r="D85" s="113">
        <f>[37]Розшиф!D16</f>
        <v>1173.0666666666666</v>
      </c>
      <c r="E85" s="113">
        <f>[37]Розшиф!E16</f>
        <v>941.85800000000006</v>
      </c>
      <c r="F85" s="347">
        <f t="shared" si="16"/>
        <v>920</v>
      </c>
      <c r="G85" s="113">
        <f>[37]Розшиф!L16</f>
        <v>230</v>
      </c>
      <c r="H85" s="113">
        <f>[37]Розшиф!M16</f>
        <v>230</v>
      </c>
      <c r="I85" s="113">
        <f>[37]Розшиф!N16</f>
        <v>230</v>
      </c>
      <c r="J85" s="113">
        <f>[37]Розшиф!O16</f>
        <v>230</v>
      </c>
    </row>
    <row r="86" spans="1:10" s="2" customFormat="1" ht="19.5" customHeight="1">
      <c r="A86" s="346" t="s">
        <v>422</v>
      </c>
      <c r="B86" s="97" t="s">
        <v>409</v>
      </c>
      <c r="C86" s="113">
        <f>[37]Розшиф!C17</f>
        <v>283.60000000000002</v>
      </c>
      <c r="D86" s="113">
        <f>[37]Розшиф!D17</f>
        <v>120</v>
      </c>
      <c r="E86" s="113">
        <f>[37]Розшиф!E17</f>
        <v>312.7</v>
      </c>
      <c r="F86" s="347">
        <f t="shared" si="16"/>
        <v>300</v>
      </c>
      <c r="G86" s="113">
        <f>[37]Розшиф!L17</f>
        <v>100</v>
      </c>
      <c r="H86" s="113">
        <f>[37]Розшиф!M17</f>
        <v>50</v>
      </c>
      <c r="I86" s="113">
        <f>[37]Розшиф!N17</f>
        <v>50</v>
      </c>
      <c r="J86" s="113">
        <f>[37]Розшиф!O17</f>
        <v>100</v>
      </c>
    </row>
    <row r="87" spans="1:10" s="2" customFormat="1" ht="19.5" customHeight="1">
      <c r="A87" s="346" t="s">
        <v>468</v>
      </c>
      <c r="B87" s="97" t="s">
        <v>410</v>
      </c>
      <c r="C87" s="113">
        <f>[37]Розшиф!C18</f>
        <v>40</v>
      </c>
      <c r="D87" s="113">
        <f>[37]Розшиф!D18</f>
        <v>0</v>
      </c>
      <c r="E87" s="113">
        <f>[37]Розшиф!E18</f>
        <v>0</v>
      </c>
      <c r="F87" s="347">
        <f t="shared" ref="F87" si="17">SUM(G87:J87)</f>
        <v>0</v>
      </c>
      <c r="G87" s="113">
        <f>[37]Розшиф!L18</f>
        <v>0</v>
      </c>
      <c r="H87" s="113">
        <f>[37]Розшиф!M18</f>
        <v>0</v>
      </c>
      <c r="I87" s="113">
        <f>[37]Розшиф!N18</f>
        <v>0</v>
      </c>
      <c r="J87" s="113">
        <f>[37]Розшиф!O18</f>
        <v>0</v>
      </c>
    </row>
    <row r="88" spans="1:10" s="2" customFormat="1" ht="19.5" customHeight="1">
      <c r="A88" s="346" t="s">
        <v>423</v>
      </c>
      <c r="B88" s="97" t="s">
        <v>411</v>
      </c>
      <c r="C88" s="113">
        <f>[37]Розшиф!C19</f>
        <v>3298.1</v>
      </c>
      <c r="D88" s="113">
        <f>[37]Розшиф!D19</f>
        <v>2251.0994166666669</v>
      </c>
      <c r="E88" s="113">
        <f>[37]Розшиф!E19</f>
        <v>2877.0000000000059</v>
      </c>
      <c r="F88" s="347">
        <f t="shared" si="16"/>
        <v>2895.9675000000002</v>
      </c>
      <c r="G88" s="113">
        <f>[37]Розшиф!L19</f>
        <v>821.49187500000005</v>
      </c>
      <c r="H88" s="113">
        <f>[37]Розшиф!M19</f>
        <v>671.49187500000005</v>
      </c>
      <c r="I88" s="113">
        <f>[37]Розшиф!N19</f>
        <v>521.49187500000005</v>
      </c>
      <c r="J88" s="113">
        <f>[37]Розшиф!O19</f>
        <v>881.49187500000005</v>
      </c>
    </row>
    <row r="89" spans="1:10" s="2" customFormat="1" ht="19.5" customHeight="1">
      <c r="A89" s="346" t="s">
        <v>424</v>
      </c>
      <c r="B89" s="97" t="s">
        <v>412</v>
      </c>
      <c r="C89" s="113">
        <f>[37]Розшиф!C20</f>
        <v>7166.18</v>
      </c>
      <c r="D89" s="113">
        <f>[37]Розшиф!D20</f>
        <v>8342.2716782790012</v>
      </c>
      <c r="E89" s="113">
        <f>[37]Розшиф!E20</f>
        <v>8566.8875414599988</v>
      </c>
      <c r="F89" s="347">
        <f t="shared" si="16"/>
        <v>12204.8614629</v>
      </c>
      <c r="G89" s="113">
        <f>[37]Розшиф!L20</f>
        <v>3042.2352599999999</v>
      </c>
      <c r="H89" s="113">
        <f>[37]Розшиф!M20</f>
        <v>3048.6411599999997</v>
      </c>
      <c r="I89" s="113">
        <f>[37]Розшиф!N20</f>
        <v>2993.3059199999998</v>
      </c>
      <c r="J89" s="113">
        <f>[37]Розшиф!O20</f>
        <v>3120.6791229</v>
      </c>
    </row>
    <row r="90" spans="1:10" s="2" customFormat="1" ht="19.5" customHeight="1">
      <c r="A90" s="346" t="s">
        <v>425</v>
      </c>
      <c r="B90" s="97" t="s">
        <v>413</v>
      </c>
      <c r="C90" s="113">
        <f>[37]Розшиф!C21</f>
        <v>8619.2000000000007</v>
      </c>
      <c r="D90" s="113">
        <f>[37]Розшиф!D21</f>
        <v>6922.9379000000008</v>
      </c>
      <c r="E90" s="113">
        <f>[37]Розшиф!E21</f>
        <v>9252.7792369999988</v>
      </c>
      <c r="F90" s="347">
        <f t="shared" si="16"/>
        <v>9715.4109360000002</v>
      </c>
      <c r="G90" s="113">
        <f>[37]Розшиф!L21</f>
        <v>2428.8527340000001</v>
      </c>
      <c r="H90" s="113">
        <f>[37]Розшиф!M21</f>
        <v>2428.8527340000001</v>
      </c>
      <c r="I90" s="113">
        <f>[37]Розшиф!N21</f>
        <v>2428.8527340000001</v>
      </c>
      <c r="J90" s="113">
        <f>[37]Розшиф!O21</f>
        <v>2428.8527340000001</v>
      </c>
    </row>
    <row r="91" spans="1:10" s="2" customFormat="1" ht="32.25" customHeight="1">
      <c r="A91" s="346" t="s">
        <v>426</v>
      </c>
      <c r="B91" s="97" t="s">
        <v>414</v>
      </c>
      <c r="C91" s="113">
        <f>[37]Розшиф!C22</f>
        <v>2633.32</v>
      </c>
      <c r="D91" s="113">
        <f>[37]Розшиф!D22</f>
        <v>3042.3416666666667</v>
      </c>
      <c r="E91" s="113">
        <f>[37]Розшиф!E22</f>
        <v>2117.5</v>
      </c>
      <c r="F91" s="347">
        <f t="shared" si="16"/>
        <v>0</v>
      </c>
      <c r="G91" s="113">
        <f>[37]Розшиф!L22</f>
        <v>0</v>
      </c>
      <c r="H91" s="113">
        <f>[37]Розшиф!M22</f>
        <v>0</v>
      </c>
      <c r="I91" s="113">
        <f>[37]Розшиф!N22</f>
        <v>0</v>
      </c>
      <c r="J91" s="113">
        <f>[37]Розшиф!O22</f>
        <v>0</v>
      </c>
    </row>
    <row r="92" spans="1:10" s="2" customFormat="1" ht="19.5" customHeight="1">
      <c r="A92" s="346" t="s">
        <v>545</v>
      </c>
      <c r="B92" s="97" t="s">
        <v>415</v>
      </c>
      <c r="C92" s="113">
        <f>[37]Розшиф!C23</f>
        <v>11623.3</v>
      </c>
      <c r="D92" s="113">
        <f>[37]Розшиф!D23</f>
        <v>12034.5537</v>
      </c>
      <c r="E92" s="113">
        <f>[37]Розшиф!E23</f>
        <v>12946.559529175</v>
      </c>
      <c r="F92" s="347">
        <f t="shared" si="16"/>
        <v>15172.797116700001</v>
      </c>
      <c r="G92" s="113">
        <f>[37]Розшиф!L23</f>
        <v>3793.1992791750004</v>
      </c>
      <c r="H92" s="113">
        <f>[37]Розшиф!M23</f>
        <v>3793.1992791750004</v>
      </c>
      <c r="I92" s="113">
        <f>[37]Розшиф!N23</f>
        <v>3793.1992791750004</v>
      </c>
      <c r="J92" s="113">
        <f>[37]Розшиф!O23</f>
        <v>3793.1992791750004</v>
      </c>
    </row>
    <row r="93" spans="1:10" s="2" customFormat="1" ht="19.5" customHeight="1">
      <c r="A93" s="346" t="s">
        <v>545</v>
      </c>
      <c r="B93" s="97" t="s">
        <v>416</v>
      </c>
      <c r="C93" s="113">
        <f>[37]Розшиф!C24</f>
        <v>0</v>
      </c>
      <c r="D93" s="113">
        <f>[37]Розшиф!D24</f>
        <v>3034.2676000000001</v>
      </c>
      <c r="E93" s="113">
        <f>[37]Розшиф!E24</f>
        <v>970.47444278187572</v>
      </c>
      <c r="F93" s="347">
        <f t="shared" si="16"/>
        <v>3881.8977711275029</v>
      </c>
      <c r="G93" s="113">
        <f>[37]Розшиф!L24</f>
        <v>970.47444278187572</v>
      </c>
      <c r="H93" s="113">
        <f>[37]Розшиф!M24</f>
        <v>970.47444278187572</v>
      </c>
      <c r="I93" s="113">
        <f>[37]Розшиф!N24</f>
        <v>970.47444278187572</v>
      </c>
      <c r="J93" s="113">
        <f>[37]Розшиф!O24</f>
        <v>970.47444278187572</v>
      </c>
    </row>
    <row r="94" spans="1:10" s="2" customFormat="1">
      <c r="A94" s="346" t="s">
        <v>427</v>
      </c>
      <c r="B94" s="97" t="s">
        <v>417</v>
      </c>
      <c r="C94" s="113">
        <f>[37]Розшиф!C25</f>
        <v>643.29999999999995</v>
      </c>
      <c r="D94" s="113">
        <f>[37]Розшиф!D25</f>
        <v>647.04190000000017</v>
      </c>
      <c r="E94" s="113">
        <f>[37]Розшиф!E25</f>
        <v>1390.1</v>
      </c>
      <c r="F94" s="347">
        <f t="shared" si="16"/>
        <v>1086</v>
      </c>
      <c r="G94" s="113">
        <f>[37]Розшиф!L25</f>
        <v>271.5</v>
      </c>
      <c r="H94" s="113">
        <f>[37]Розшиф!M25</f>
        <v>271.5</v>
      </c>
      <c r="I94" s="113">
        <f>[37]Розшиф!N25</f>
        <v>271.5</v>
      </c>
      <c r="J94" s="113">
        <f>[37]Розшиф!O25</f>
        <v>271.5</v>
      </c>
    </row>
    <row r="95" spans="1:10" s="2" customFormat="1" ht="19.5" customHeight="1">
      <c r="A95" s="346" t="s">
        <v>546</v>
      </c>
      <c r="B95" s="97" t="s">
        <v>418</v>
      </c>
      <c r="C95" s="113">
        <f>[37]Розшиф!C26</f>
        <v>3392.9</v>
      </c>
      <c r="D95" s="113">
        <f>[37]Розшиф!D26</f>
        <v>4413.0397313229187</v>
      </c>
      <c r="E95" s="113">
        <f>[37]Розшиф!E26</f>
        <v>2028.7747000319498</v>
      </c>
      <c r="F95" s="347">
        <f t="shared" si="16"/>
        <v>0</v>
      </c>
      <c r="G95" s="113">
        <f>[37]Розшиф!L26</f>
        <v>0</v>
      </c>
      <c r="H95" s="113">
        <f>[37]Розшиф!M26</f>
        <v>0</v>
      </c>
      <c r="I95" s="113">
        <f>[37]Розшиф!N26</f>
        <v>0</v>
      </c>
      <c r="J95" s="113">
        <f>[37]Розшиф!O26</f>
        <v>0</v>
      </c>
    </row>
    <row r="96" spans="1:10" s="2" customFormat="1" ht="19.5" customHeight="1">
      <c r="A96" s="346" t="s">
        <v>428</v>
      </c>
      <c r="B96" s="97" t="s">
        <v>432</v>
      </c>
      <c r="C96" s="113">
        <f>[37]Розшиф!C27</f>
        <v>10084.700000000001</v>
      </c>
      <c r="D96" s="113">
        <f>[37]Розшиф!D27</f>
        <v>0</v>
      </c>
      <c r="E96" s="113">
        <f>[37]Розшиф!E27</f>
        <v>0</v>
      </c>
      <c r="F96" s="347">
        <f t="shared" si="16"/>
        <v>0</v>
      </c>
      <c r="G96" s="113">
        <f>[37]Розшиф!L27</f>
        <v>0</v>
      </c>
      <c r="H96" s="113">
        <f>[37]Розшиф!M27</f>
        <v>0</v>
      </c>
      <c r="I96" s="113">
        <f>[37]Розшиф!N27</f>
        <v>0</v>
      </c>
      <c r="J96" s="113">
        <f>[37]Розшиф!O27</f>
        <v>0</v>
      </c>
    </row>
    <row r="97" spans="1:10" s="2" customFormat="1" ht="19.5" customHeight="1">
      <c r="A97" s="346" t="s">
        <v>429</v>
      </c>
      <c r="B97" s="97" t="s">
        <v>433</v>
      </c>
      <c r="C97" s="113">
        <f>[37]Розшиф!C28</f>
        <v>7116.7000000000007</v>
      </c>
      <c r="D97" s="113">
        <f>[37]Розшиф!D28</f>
        <v>7483.1638499999999</v>
      </c>
      <c r="E97" s="113">
        <f>[37]Розшиф!E28</f>
        <v>645.20000000000005</v>
      </c>
      <c r="F97" s="347">
        <f t="shared" si="16"/>
        <v>0</v>
      </c>
      <c r="G97" s="113">
        <f>[37]Розшиф!L28</f>
        <v>0</v>
      </c>
      <c r="H97" s="113">
        <f>[37]Розшиф!M28</f>
        <v>0</v>
      </c>
      <c r="I97" s="113">
        <f>[37]Розшиф!N28</f>
        <v>0</v>
      </c>
      <c r="J97" s="113">
        <f>[37]Розшиф!O28</f>
        <v>0</v>
      </c>
    </row>
    <row r="98" spans="1:10" s="2" customFormat="1" ht="19.5" customHeight="1">
      <c r="A98" s="58" t="s">
        <v>308</v>
      </c>
      <c r="B98" s="97">
        <v>1074</v>
      </c>
      <c r="C98" s="113">
        <f>[37]Розшиф!C29</f>
        <v>0</v>
      </c>
      <c r="D98" s="113">
        <f>[37]Розшиф!D29</f>
        <v>0</v>
      </c>
      <c r="E98" s="113">
        <f>[37]Розшиф!E29</f>
        <v>24399.3</v>
      </c>
      <c r="F98" s="347">
        <f>SUM(G98:J98)</f>
        <v>147456.59400000001</v>
      </c>
      <c r="G98" s="113">
        <f>[37]Розшиф!L29</f>
        <v>36864.148500000003</v>
      </c>
      <c r="H98" s="113">
        <f>[37]Розшиф!M29</f>
        <v>36864.148500000003</v>
      </c>
      <c r="I98" s="113">
        <f>[37]Розшиф!N29</f>
        <v>36864.148500000003</v>
      </c>
      <c r="J98" s="113">
        <f>[37]Розшиф!O29</f>
        <v>36864.148500000003</v>
      </c>
    </row>
    <row r="99" spans="1:10" s="84" customFormat="1" ht="20.100000000000001" customHeight="1">
      <c r="A99" s="62" t="s">
        <v>43</v>
      </c>
      <c r="B99" s="101">
        <v>1080</v>
      </c>
      <c r="C99" s="114">
        <f>SUM(C100:C105)</f>
        <v>40668.905999999995</v>
      </c>
      <c r="D99" s="114">
        <f t="shared" ref="D99:J99" si="18">SUM(D100:D105)</f>
        <v>34993.776306781736</v>
      </c>
      <c r="E99" s="114">
        <f t="shared" si="18"/>
        <v>46808.05298990506</v>
      </c>
      <c r="F99" s="348">
        <f t="shared" si="18"/>
        <v>48382.058065276506</v>
      </c>
      <c r="G99" s="114">
        <f t="shared" si="18"/>
        <v>12197.272566319127</v>
      </c>
      <c r="H99" s="114">
        <f t="shared" si="18"/>
        <v>11784.148566319127</v>
      </c>
      <c r="I99" s="114">
        <f t="shared" si="18"/>
        <v>11824.648466319126</v>
      </c>
      <c r="J99" s="114">
        <f t="shared" si="18"/>
        <v>12575.988466319122</v>
      </c>
    </row>
    <row r="100" spans="1:10" s="2" customFormat="1" ht="20.100000000000001" customHeight="1">
      <c r="A100" s="58" t="s">
        <v>81</v>
      </c>
      <c r="B100" s="95">
        <v>1081</v>
      </c>
      <c r="C100" s="113">
        <f>[37]Розшиф!C128</f>
        <v>126.1</v>
      </c>
      <c r="D100" s="113">
        <f>[37]Розшиф!D128</f>
        <v>0</v>
      </c>
      <c r="E100" s="113">
        <f>[37]Розшиф!E128</f>
        <v>150.69999999999999</v>
      </c>
      <c r="F100" s="247">
        <f t="shared" ref="F100:F125" si="19">SUM(G100:J100)</f>
        <v>155</v>
      </c>
      <c r="G100" s="113">
        <f>[37]Розшиф!L128</f>
        <v>85</v>
      </c>
      <c r="H100" s="113">
        <f>[37]Розшиф!M128</f>
        <v>0</v>
      </c>
      <c r="I100" s="113">
        <f>[37]Розшиф!N128</f>
        <v>70</v>
      </c>
      <c r="J100" s="113">
        <f>[37]Розшиф!O128</f>
        <v>0</v>
      </c>
    </row>
    <row r="101" spans="1:10" s="2" customFormat="1" ht="20.100000000000001" customHeight="1">
      <c r="A101" s="58" t="s">
        <v>163</v>
      </c>
      <c r="B101" s="95">
        <v>1082</v>
      </c>
      <c r="C101" s="113">
        <f>[37]Розшиф!C129</f>
        <v>0</v>
      </c>
      <c r="D101" s="113">
        <f>[37]Розшиф!D129</f>
        <v>0</v>
      </c>
      <c r="E101" s="113">
        <f>[37]Розшиф!E129</f>
        <v>0</v>
      </c>
      <c r="F101" s="247">
        <f t="shared" si="19"/>
        <v>0</v>
      </c>
      <c r="G101" s="113">
        <f>[37]Розшиф!L129</f>
        <v>0</v>
      </c>
      <c r="H101" s="113">
        <f>[37]Розшиф!M129</f>
        <v>0</v>
      </c>
      <c r="I101" s="113">
        <f>[37]Розшиф!N129</f>
        <v>0</v>
      </c>
      <c r="J101" s="113">
        <f>[37]Розшиф!O129</f>
        <v>0</v>
      </c>
    </row>
    <row r="102" spans="1:10" s="2" customFormat="1" ht="20.100000000000001" customHeight="1">
      <c r="A102" s="58" t="s">
        <v>38</v>
      </c>
      <c r="B102" s="95">
        <v>1083</v>
      </c>
      <c r="C102" s="113">
        <f>[37]Розшиф!C130</f>
        <v>0</v>
      </c>
      <c r="D102" s="113">
        <f>[37]Розшиф!D130</f>
        <v>0</v>
      </c>
      <c r="E102" s="113">
        <f>[37]Розшиф!E130</f>
        <v>0</v>
      </c>
      <c r="F102" s="247">
        <f t="shared" si="19"/>
        <v>0</v>
      </c>
      <c r="G102" s="113">
        <f>[37]Розшиф!L130</f>
        <v>0</v>
      </c>
      <c r="H102" s="113">
        <f>[37]Розшиф!M130</f>
        <v>0</v>
      </c>
      <c r="I102" s="113">
        <f>[37]Розшиф!N130</f>
        <v>0</v>
      </c>
      <c r="J102" s="113">
        <f>[37]Розшиф!O130</f>
        <v>0</v>
      </c>
    </row>
    <row r="103" spans="1:10" s="2" customFormat="1" ht="20.100000000000001" customHeight="1">
      <c r="A103" s="58" t="s">
        <v>26</v>
      </c>
      <c r="B103" s="95">
        <v>1084</v>
      </c>
      <c r="C103" s="113">
        <f>[37]Розшиф!C131</f>
        <v>8720.2999999999993</v>
      </c>
      <c r="D103" s="113">
        <f>[37]Розшиф!D131</f>
        <v>150</v>
      </c>
      <c r="E103" s="113">
        <f>[37]Розшиф!E131</f>
        <v>150</v>
      </c>
      <c r="F103" s="247">
        <f t="shared" si="19"/>
        <v>0</v>
      </c>
      <c r="G103" s="113">
        <f>[37]Розшиф!L131</f>
        <v>0</v>
      </c>
      <c r="H103" s="113">
        <f>[37]Розшиф!M131</f>
        <v>0</v>
      </c>
      <c r="I103" s="113">
        <f>[37]Розшиф!N131</f>
        <v>0</v>
      </c>
      <c r="J103" s="113">
        <f>[37]Розшиф!O131</f>
        <v>0</v>
      </c>
    </row>
    <row r="104" spans="1:10" s="2" customFormat="1" ht="20.100000000000001" customHeight="1">
      <c r="A104" s="58" t="s">
        <v>30</v>
      </c>
      <c r="B104" s="95">
        <v>1085</v>
      </c>
      <c r="C104" s="113">
        <f>[37]Розшиф!C132</f>
        <v>0</v>
      </c>
      <c r="D104" s="113">
        <f>[37]Розшиф!D132</f>
        <v>0</v>
      </c>
      <c r="E104" s="113">
        <f>[37]Розшиф!E132</f>
        <v>0</v>
      </c>
      <c r="F104" s="247">
        <f t="shared" si="19"/>
        <v>0</v>
      </c>
      <c r="G104" s="113">
        <f>[37]Розшиф!L132</f>
        <v>0</v>
      </c>
      <c r="H104" s="113">
        <f>[37]Розшиф!M132</f>
        <v>0</v>
      </c>
      <c r="I104" s="113">
        <f>[37]Розшиф!N132</f>
        <v>0</v>
      </c>
      <c r="J104" s="113">
        <f>[37]Розшиф!O132</f>
        <v>0</v>
      </c>
    </row>
    <row r="105" spans="1:10" s="12" customFormat="1" ht="20.100000000000001" customHeight="1">
      <c r="A105" s="310" t="s">
        <v>437</v>
      </c>
      <c r="B105" s="103">
        <v>1086</v>
      </c>
      <c r="C105" s="112">
        <f>SUM(C106:C125)-C115-C116</f>
        <v>31822.505999999994</v>
      </c>
      <c r="D105" s="112">
        <f t="shared" ref="D105:J105" si="20">SUM(D106:D125)-D115-D116</f>
        <v>34843.776306781736</v>
      </c>
      <c r="E105" s="112">
        <f t="shared" si="20"/>
        <v>46507.352989905063</v>
      </c>
      <c r="F105" s="345">
        <f t="shared" si="20"/>
        <v>48227.058065276506</v>
      </c>
      <c r="G105" s="112">
        <f t="shared" si="20"/>
        <v>12112.272566319127</v>
      </c>
      <c r="H105" s="112">
        <f t="shared" si="20"/>
        <v>11784.148566319127</v>
      </c>
      <c r="I105" s="112">
        <f t="shared" si="20"/>
        <v>11754.648466319126</v>
      </c>
      <c r="J105" s="112">
        <f t="shared" si="20"/>
        <v>12575.988466319122</v>
      </c>
    </row>
    <row r="106" spans="1:10" s="2" customFormat="1" ht="20.100000000000001" customHeight="1">
      <c r="A106" s="116" t="s">
        <v>342</v>
      </c>
      <c r="B106" s="99" t="s">
        <v>438</v>
      </c>
      <c r="C106" s="113">
        <f>[37]Розшиф!C134</f>
        <v>196.2</v>
      </c>
      <c r="D106" s="113">
        <f>[37]Розшиф!D134</f>
        <v>105</v>
      </c>
      <c r="E106" s="113">
        <f>[37]Розшиф!E134</f>
        <v>209.7</v>
      </c>
      <c r="F106" s="349">
        <f t="shared" si="19"/>
        <v>210</v>
      </c>
      <c r="G106" s="113">
        <f>[37]Розшиф!L134</f>
        <v>70</v>
      </c>
      <c r="H106" s="113">
        <f>[37]Розшиф!M134</f>
        <v>20</v>
      </c>
      <c r="I106" s="113">
        <f>[37]Розшиф!N134</f>
        <v>20</v>
      </c>
      <c r="J106" s="113">
        <f>[37]Розшиф!O134</f>
        <v>100</v>
      </c>
    </row>
    <row r="107" spans="1:10" s="2" customFormat="1" ht="20.100000000000001" customHeight="1">
      <c r="A107" s="116" t="s">
        <v>344</v>
      </c>
      <c r="B107" s="99" t="s">
        <v>439</v>
      </c>
      <c r="C107" s="113">
        <f>[37]Розшиф!C135</f>
        <v>7773.27</v>
      </c>
      <c r="D107" s="113">
        <f>[37]Розшиф!D135</f>
        <v>0</v>
      </c>
      <c r="E107" s="113">
        <f>[37]Розшиф!E135</f>
        <v>133.6</v>
      </c>
      <c r="F107" s="349">
        <f t="shared" si="19"/>
        <v>100</v>
      </c>
      <c r="G107" s="113">
        <f>[37]Розшиф!L135</f>
        <v>25</v>
      </c>
      <c r="H107" s="113">
        <f>[37]Розшиф!M135</f>
        <v>25</v>
      </c>
      <c r="I107" s="113">
        <f>[37]Розшиф!N135</f>
        <v>25</v>
      </c>
      <c r="J107" s="113">
        <f>[37]Розшиф!O135</f>
        <v>25</v>
      </c>
    </row>
    <row r="108" spans="1:10" s="2" customFormat="1" ht="20.100000000000001" customHeight="1">
      <c r="A108" s="116" t="s">
        <v>17</v>
      </c>
      <c r="B108" s="99" t="s">
        <v>440</v>
      </c>
      <c r="C108" s="113">
        <f>[37]Розшиф!C136</f>
        <v>6757.5905901639344</v>
      </c>
      <c r="D108" s="113">
        <f>[37]Розшиф!D136</f>
        <v>11991.327992499999</v>
      </c>
      <c r="E108" s="113">
        <f>[37]Розшиф!E136</f>
        <v>7759.0028030223066</v>
      </c>
      <c r="F108" s="349">
        <f t="shared" si="19"/>
        <v>9918.8474305545114</v>
      </c>
      <c r="G108" s="113">
        <f>[37]Розшиф!L136</f>
        <v>2479.7118576386279</v>
      </c>
      <c r="H108" s="113">
        <f>[37]Розшиф!M136</f>
        <v>2379.7118576386279</v>
      </c>
      <c r="I108" s="113">
        <f>[37]Розшиф!N136</f>
        <v>2379.7118576386279</v>
      </c>
      <c r="J108" s="113">
        <f>[37]Розшиф!O136</f>
        <v>2679.7118576386279</v>
      </c>
    </row>
    <row r="109" spans="1:10" s="2" customFormat="1" ht="20.100000000000001" customHeight="1">
      <c r="A109" s="116" t="s">
        <v>18</v>
      </c>
      <c r="B109" s="99" t="s">
        <v>441</v>
      </c>
      <c r="C109" s="113">
        <f>[37]Розшиф!C137</f>
        <v>1436.275409836066</v>
      </c>
      <c r="D109" s="113">
        <f>[37]Розшиф!D137</f>
        <v>2638.0921583499999</v>
      </c>
      <c r="E109" s="113">
        <f>[37]Розшиф!E137</f>
        <v>1705.1966166649074</v>
      </c>
      <c r="F109" s="349">
        <f t="shared" si="19"/>
        <v>2182.1464347219926</v>
      </c>
      <c r="G109" s="113">
        <f>[37]Розшиф!L137</f>
        <v>545.53660868049815</v>
      </c>
      <c r="H109" s="113">
        <f>[37]Розшиф!M137</f>
        <v>523.53660868049815</v>
      </c>
      <c r="I109" s="113">
        <f>[37]Розшиф!N137</f>
        <v>523.53660868049815</v>
      </c>
      <c r="J109" s="113">
        <f>[37]Розшиф!O137</f>
        <v>589.53660868049815</v>
      </c>
    </row>
    <row r="110" spans="1:10" s="2" customFormat="1" ht="32.25" customHeight="1">
      <c r="A110" s="116" t="s">
        <v>345</v>
      </c>
      <c r="B110" s="99" t="s">
        <v>442</v>
      </c>
      <c r="C110" s="113">
        <f>[37]Розшиф!C138</f>
        <v>528.09999999999991</v>
      </c>
      <c r="D110" s="113">
        <f>[37]Розшиф!D138</f>
        <v>520</v>
      </c>
      <c r="E110" s="113">
        <f>[37]Розшиф!E138</f>
        <v>480.6</v>
      </c>
      <c r="F110" s="349">
        <f t="shared" si="19"/>
        <v>500</v>
      </c>
      <c r="G110" s="113">
        <f>[37]Розшиф!L138</f>
        <v>125</v>
      </c>
      <c r="H110" s="113">
        <f>[37]Розшиф!M138</f>
        <v>125</v>
      </c>
      <c r="I110" s="113">
        <f>[37]Розшиф!N138</f>
        <v>125</v>
      </c>
      <c r="J110" s="113">
        <f>[37]Розшиф!O138</f>
        <v>125</v>
      </c>
    </row>
    <row r="111" spans="1:10" s="2" customFormat="1" ht="20.100000000000001" customHeight="1">
      <c r="A111" s="116" t="s">
        <v>346</v>
      </c>
      <c r="B111" s="99" t="s">
        <v>443</v>
      </c>
      <c r="C111" s="113">
        <f>[37]Розшиф!C139</f>
        <v>0</v>
      </c>
      <c r="D111" s="113">
        <f>[37]Розшиф!D139</f>
        <v>2912.1</v>
      </c>
      <c r="E111" s="113">
        <f>[37]Розшиф!E139</f>
        <v>812.02</v>
      </c>
      <c r="F111" s="349">
        <f t="shared" si="19"/>
        <v>0</v>
      </c>
      <c r="G111" s="113">
        <f>[37]Розшиф!L139</f>
        <v>0</v>
      </c>
      <c r="H111" s="113">
        <f>[37]Розшиф!M139</f>
        <v>0</v>
      </c>
      <c r="I111" s="113">
        <f>[37]Розшиф!N139</f>
        <v>0</v>
      </c>
      <c r="J111" s="113">
        <f>[37]Розшиф!O139</f>
        <v>0</v>
      </c>
    </row>
    <row r="112" spans="1:10" s="2" customFormat="1" ht="20.100000000000001" customHeight="1">
      <c r="A112" s="116" t="s">
        <v>347</v>
      </c>
      <c r="B112" s="99" t="s">
        <v>444</v>
      </c>
      <c r="C112" s="113">
        <f>[37]Розшиф!C140</f>
        <v>0</v>
      </c>
      <c r="D112" s="113">
        <f>[37]Розшиф!D140</f>
        <v>2485.6921559317334</v>
      </c>
      <c r="E112" s="113">
        <f>[37]Розшиф!E140</f>
        <v>1738.139070217841</v>
      </c>
      <c r="F112" s="349">
        <f t="shared" si="19"/>
        <v>0</v>
      </c>
      <c r="G112" s="113">
        <f>[37]Розшиф!L140</f>
        <v>0</v>
      </c>
      <c r="H112" s="113">
        <f>[37]Розшиф!M140</f>
        <v>0</v>
      </c>
      <c r="I112" s="113">
        <f>[37]Розшиф!N140</f>
        <v>0</v>
      </c>
      <c r="J112" s="113">
        <f>[37]Розшиф!O140</f>
        <v>0</v>
      </c>
    </row>
    <row r="113" spans="1:10" s="2" customFormat="1" ht="20.100000000000001" customHeight="1">
      <c r="A113" s="116" t="s">
        <v>436</v>
      </c>
      <c r="B113" s="99" t="s">
        <v>445</v>
      </c>
      <c r="C113" s="113">
        <f>[37]Розшиф!C141</f>
        <v>205.1</v>
      </c>
      <c r="D113" s="113">
        <f>[37]Розшиф!D141</f>
        <v>269.5</v>
      </c>
      <c r="E113" s="113">
        <f>[37]Розшиф!E141</f>
        <v>238</v>
      </c>
      <c r="F113" s="349">
        <f t="shared" si="19"/>
        <v>259.32499999999999</v>
      </c>
      <c r="G113" s="113">
        <f>[37]Розшиф!L141</f>
        <v>65.45</v>
      </c>
      <c r="H113" s="113">
        <f>[37]Розшиф!M141</f>
        <v>64.625</v>
      </c>
      <c r="I113" s="113">
        <f>[37]Розшиф!N141</f>
        <v>64.625</v>
      </c>
      <c r="J113" s="113">
        <f>[37]Розшиф!O141</f>
        <v>64.625</v>
      </c>
    </row>
    <row r="114" spans="1:10" s="2" customFormat="1" ht="20.100000000000001" customHeight="1">
      <c r="A114" s="116" t="s">
        <v>33</v>
      </c>
      <c r="B114" s="99" t="s">
        <v>446</v>
      </c>
      <c r="C114" s="113">
        <f>C115+C116</f>
        <v>13310.2</v>
      </c>
      <c r="D114" s="113">
        <f t="shared" ref="D114:E114" si="21">D115+D116</f>
        <v>13142.064</v>
      </c>
      <c r="E114" s="113">
        <f t="shared" si="21"/>
        <v>31167.104500000001</v>
      </c>
      <c r="F114" s="349">
        <f t="shared" si="19"/>
        <v>32695.709999999995</v>
      </c>
      <c r="G114" s="113">
        <f>[37]Розшиф!L142</f>
        <v>8211.99</v>
      </c>
      <c r="H114" s="113">
        <f>[37]Розшиф!M142</f>
        <v>8090.1899999999987</v>
      </c>
      <c r="I114" s="113">
        <f>[37]Розшиф!N142</f>
        <v>8090.1899999999987</v>
      </c>
      <c r="J114" s="113">
        <f>[37]Розшиф!O142</f>
        <v>8303.34</v>
      </c>
    </row>
    <row r="115" spans="1:10" s="70" customFormat="1" ht="20.100000000000001" hidden="1" customHeight="1" outlineLevel="1">
      <c r="A115" s="350" t="s">
        <v>469</v>
      </c>
      <c r="B115" s="351"/>
      <c r="C115" s="352">
        <f>[37]Розшиф!C143</f>
        <v>3742.1800000000021</v>
      </c>
      <c r="D115" s="352">
        <f>[37]Розшиф!D143</f>
        <v>5342.0640000000003</v>
      </c>
      <c r="E115" s="352">
        <f>[37]Розшиф!E143</f>
        <v>8623.3266299999996</v>
      </c>
      <c r="F115" s="353">
        <f t="shared" si="19"/>
        <v>9835.35</v>
      </c>
      <c r="G115" s="113">
        <f>[37]Розшиф!L143</f>
        <v>2496.9</v>
      </c>
      <c r="H115" s="113">
        <f>[37]Розшиф!M143</f>
        <v>2375.1</v>
      </c>
      <c r="I115" s="113">
        <f>[37]Розшиф!N143</f>
        <v>2375.1</v>
      </c>
      <c r="J115" s="113">
        <f>[37]Розшиф!O143</f>
        <v>2588.25</v>
      </c>
    </row>
    <row r="116" spans="1:10" s="70" customFormat="1" ht="20.100000000000001" hidden="1" customHeight="1" outlineLevel="1">
      <c r="A116" s="350" t="s">
        <v>470</v>
      </c>
      <c r="B116" s="351"/>
      <c r="C116" s="352">
        <f>[37]Розшиф!C144</f>
        <v>9568.0199999999986</v>
      </c>
      <c r="D116" s="352">
        <f>[37]Розшиф!D144</f>
        <v>7800</v>
      </c>
      <c r="E116" s="352">
        <f>[37]Розшиф!E144</f>
        <v>22543.777870000002</v>
      </c>
      <c r="F116" s="353">
        <f t="shared" si="19"/>
        <v>22860.359999999997</v>
      </c>
      <c r="G116" s="113">
        <f>[37]Розшиф!L144</f>
        <v>5715.0899999999992</v>
      </c>
      <c r="H116" s="113">
        <f>[37]Розшиф!M144</f>
        <v>5715.0899999999992</v>
      </c>
      <c r="I116" s="113">
        <f>[37]Розшиф!N144</f>
        <v>5715.0899999999992</v>
      </c>
      <c r="J116" s="113">
        <f>[37]Розшиф!O144</f>
        <v>5715.0899999999992</v>
      </c>
    </row>
    <row r="117" spans="1:10" s="2" customFormat="1" ht="20.100000000000001" customHeight="1" collapsed="1">
      <c r="A117" s="116" t="s">
        <v>348</v>
      </c>
      <c r="B117" s="99" t="s">
        <v>447</v>
      </c>
      <c r="C117" s="113">
        <f>[37]Розшиф!C145</f>
        <v>416.5</v>
      </c>
      <c r="D117" s="113">
        <f>[37]Розшиф!D145</f>
        <v>500</v>
      </c>
      <c r="E117" s="113">
        <f>[37]Розшиф!E145</f>
        <v>517.70000000000005</v>
      </c>
      <c r="F117" s="349">
        <f t="shared" si="19"/>
        <v>543.58500000000004</v>
      </c>
      <c r="G117" s="113">
        <f>[37]Розшиф!L145</f>
        <v>133.45500000000001</v>
      </c>
      <c r="H117" s="113">
        <f>[37]Розшиф!M145</f>
        <v>123.58499999999999</v>
      </c>
      <c r="I117" s="113">
        <f>[37]Розшиф!N145</f>
        <v>105</v>
      </c>
      <c r="J117" s="113">
        <f>[37]Розшиф!O145</f>
        <v>181.54499999999999</v>
      </c>
    </row>
    <row r="118" spans="1:10" s="2" customFormat="1" ht="20.100000000000001" customHeight="1">
      <c r="A118" s="116" t="s">
        <v>349</v>
      </c>
      <c r="B118" s="99" t="s">
        <v>448</v>
      </c>
      <c r="C118" s="113">
        <f>[37]Розшиф!C146</f>
        <v>36.700000000000003</v>
      </c>
      <c r="D118" s="113">
        <f>[37]Розшиф!D146</f>
        <v>30</v>
      </c>
      <c r="E118" s="113">
        <f>[37]Розшиф!E146</f>
        <v>27.799999999999997</v>
      </c>
      <c r="F118" s="349">
        <f t="shared" si="19"/>
        <v>29.190000000000005</v>
      </c>
      <c r="G118" s="113">
        <f>[37]Розшиф!L146</f>
        <v>9.3450000000000006</v>
      </c>
      <c r="H118" s="113">
        <f>[37]Розшиф!M146</f>
        <v>4.2</v>
      </c>
      <c r="I118" s="113">
        <f>[37]Розшиф!N146</f>
        <v>6.3000000000000007</v>
      </c>
      <c r="J118" s="113">
        <f>[37]Розшиф!O146</f>
        <v>9.3450000000000006</v>
      </c>
    </row>
    <row r="119" spans="1:10" s="2" customFormat="1" ht="20.100000000000001" customHeight="1">
      <c r="A119" s="116" t="s">
        <v>314</v>
      </c>
      <c r="B119" s="99" t="s">
        <v>449</v>
      </c>
      <c r="C119" s="113">
        <f>[37]Розшиф!C147</f>
        <v>120.3</v>
      </c>
      <c r="D119" s="113">
        <f>[37]Розшиф!D147</f>
        <v>80</v>
      </c>
      <c r="E119" s="113">
        <f>[37]Розшиф!E147</f>
        <v>148.44</v>
      </c>
      <c r="F119" s="349">
        <f t="shared" si="19"/>
        <v>160</v>
      </c>
      <c r="G119" s="113">
        <f>[37]Розшиф!L147</f>
        <v>10</v>
      </c>
      <c r="H119" s="113">
        <f>[37]Розшиф!M147</f>
        <v>50</v>
      </c>
      <c r="I119" s="113">
        <f>[37]Розшиф!N147</f>
        <v>50</v>
      </c>
      <c r="J119" s="113">
        <f>[37]Розшиф!O147</f>
        <v>50</v>
      </c>
    </row>
    <row r="120" spans="1:10" s="2" customFormat="1" ht="20.100000000000001" customHeight="1">
      <c r="A120" s="116" t="s">
        <v>350</v>
      </c>
      <c r="B120" s="99" t="s">
        <v>450</v>
      </c>
      <c r="C120" s="113">
        <f>[37]Розшиф!C148</f>
        <v>72.400000000000006</v>
      </c>
      <c r="D120" s="113">
        <f>[37]Розшиф!D148</f>
        <v>75</v>
      </c>
      <c r="E120" s="113">
        <f>[37]Розшиф!E148</f>
        <v>181.4</v>
      </c>
      <c r="F120" s="349">
        <f t="shared" si="19"/>
        <v>191.01419999999999</v>
      </c>
      <c r="G120" s="113">
        <f>[37]Розшиф!L148</f>
        <v>47.069099999999999</v>
      </c>
      <c r="H120" s="113">
        <f>[37]Розшиф!M148</f>
        <v>49.1751</v>
      </c>
      <c r="I120" s="113">
        <f>[37]Розшиф!N148</f>
        <v>47.384999999999998</v>
      </c>
      <c r="J120" s="113">
        <f>[37]Розшиф!O148</f>
        <v>47.384999999999998</v>
      </c>
    </row>
    <row r="121" spans="1:10" s="2" customFormat="1" ht="37.5" customHeight="1">
      <c r="A121" s="116" t="s">
        <v>351</v>
      </c>
      <c r="B121" s="99" t="s">
        <v>451</v>
      </c>
      <c r="C121" s="113">
        <f>[37]Розшиф!C149</f>
        <v>435.7</v>
      </c>
      <c r="D121" s="113">
        <f>[37]Розшиф!D149</f>
        <v>0</v>
      </c>
      <c r="E121" s="113">
        <f>[37]Розшиф!E149</f>
        <v>813.8</v>
      </c>
      <c r="F121" s="349">
        <f t="shared" si="19"/>
        <v>854.49</v>
      </c>
      <c r="G121" s="113">
        <f>[37]Розшиф!L149</f>
        <v>220.81500000000003</v>
      </c>
      <c r="H121" s="113">
        <f>[37]Розшиф!M149</f>
        <v>205.27500000000001</v>
      </c>
      <c r="I121" s="113">
        <f>[37]Розшиф!N149</f>
        <v>207.9</v>
      </c>
      <c r="J121" s="113">
        <f>[37]Розшиф!O149</f>
        <v>220.5</v>
      </c>
    </row>
    <row r="122" spans="1:10" s="2" customFormat="1" ht="20.100000000000001" customHeight="1">
      <c r="A122" s="116" t="s">
        <v>352</v>
      </c>
      <c r="B122" s="99" t="s">
        <v>452</v>
      </c>
      <c r="C122" s="113">
        <f>[37]Розшиф!C150</f>
        <v>47.7</v>
      </c>
      <c r="D122" s="113">
        <f>[37]Розшиф!D150</f>
        <v>50</v>
      </c>
      <c r="E122" s="113">
        <f>[37]Розшиф!E150</f>
        <v>138.80000000000001</v>
      </c>
      <c r="F122" s="349">
        <f t="shared" si="19"/>
        <v>140</v>
      </c>
      <c r="G122" s="113">
        <f>[37]Розшиф!L150</f>
        <v>50</v>
      </c>
      <c r="H122" s="113">
        <f>[37]Розшиф!M150</f>
        <v>20</v>
      </c>
      <c r="I122" s="113">
        <f>[37]Розшиф!N150</f>
        <v>20</v>
      </c>
      <c r="J122" s="113">
        <f>[37]Розшиф!O150</f>
        <v>50</v>
      </c>
    </row>
    <row r="123" spans="1:10" s="2" customFormat="1" ht="20.100000000000001" customHeight="1">
      <c r="A123" s="116" t="s">
        <v>341</v>
      </c>
      <c r="B123" s="99" t="s">
        <v>453</v>
      </c>
      <c r="C123" s="113">
        <f>[37]Розшиф!C151</f>
        <v>285.67</v>
      </c>
      <c r="D123" s="113">
        <f>[37]Розшиф!D151</f>
        <v>0</v>
      </c>
      <c r="E123" s="113">
        <f>[37]Розшиф!E151</f>
        <v>272.75</v>
      </c>
      <c r="F123" s="349">
        <f t="shared" si="19"/>
        <v>272.75</v>
      </c>
      <c r="G123" s="113">
        <f>[37]Розшиф!L151</f>
        <v>78.900000000000006</v>
      </c>
      <c r="H123" s="113">
        <f>[37]Розшиф!M151</f>
        <v>63.849999999999994</v>
      </c>
      <c r="I123" s="113">
        <f>[37]Розшиф!N151</f>
        <v>50</v>
      </c>
      <c r="J123" s="113">
        <f>[37]Розшиф!O151</f>
        <v>80</v>
      </c>
    </row>
    <row r="124" spans="1:10" s="2" customFormat="1" ht="20.100000000000001" customHeight="1">
      <c r="A124" s="116" t="s">
        <v>343</v>
      </c>
      <c r="B124" s="99" t="s">
        <v>454</v>
      </c>
      <c r="C124" s="113">
        <f>[37]Розшиф!C152</f>
        <v>161.19999999999999</v>
      </c>
      <c r="D124" s="113">
        <f>[37]Розшиф!D152</f>
        <v>0</v>
      </c>
      <c r="E124" s="113">
        <f>[37]Розшиф!E152</f>
        <v>0</v>
      </c>
      <c r="F124" s="349">
        <f t="shared" si="19"/>
        <v>0</v>
      </c>
      <c r="G124" s="113">
        <f>[37]Розшиф!L152</f>
        <v>0</v>
      </c>
      <c r="H124" s="113">
        <f>[37]Розшиф!M152</f>
        <v>0</v>
      </c>
      <c r="I124" s="113">
        <f>[37]Розшиф!N152</f>
        <v>0</v>
      </c>
      <c r="J124" s="113">
        <f>[37]Розшиф!O152</f>
        <v>0</v>
      </c>
    </row>
    <row r="125" spans="1:10" s="2" customFormat="1" ht="20.100000000000001" customHeight="1">
      <c r="A125" s="116" t="s">
        <v>435</v>
      </c>
      <c r="B125" s="99" t="s">
        <v>455</v>
      </c>
      <c r="C125" s="113">
        <f>[37]Розшиф!C153</f>
        <v>39.59999999999998</v>
      </c>
      <c r="D125" s="113">
        <f>[37]Розшиф!D153</f>
        <v>45</v>
      </c>
      <c r="E125" s="113">
        <f>[37]Розшиф!E153</f>
        <v>163.29999999999853</v>
      </c>
      <c r="F125" s="349">
        <f t="shared" si="19"/>
        <v>170</v>
      </c>
      <c r="G125" s="113">
        <f>[37]Розшиф!L153</f>
        <v>40</v>
      </c>
      <c r="H125" s="113">
        <f>[37]Розшиф!M153</f>
        <v>40</v>
      </c>
      <c r="I125" s="113">
        <f>[37]Розшиф!N153</f>
        <v>40</v>
      </c>
      <c r="J125" s="113">
        <f>[37]Розшиф!O153</f>
        <v>50</v>
      </c>
    </row>
    <row r="126" spans="1:10" s="82" customFormat="1" ht="44.25" customHeight="1">
      <c r="A126" s="87" t="s">
        <v>105</v>
      </c>
      <c r="B126" s="102">
        <v>1100</v>
      </c>
      <c r="C126" s="88">
        <f t="shared" ref="C126:J126" si="22">(C36+C79)-C37-C71-C99</f>
        <v>103689.20932786886</v>
      </c>
      <c r="D126" s="88">
        <f t="shared" si="22"/>
        <v>45297.365307541004</v>
      </c>
      <c r="E126" s="88">
        <f t="shared" si="22"/>
        <v>34078.04439853887</v>
      </c>
      <c r="F126" s="88">
        <f t="shared" si="22"/>
        <v>271427.069206657</v>
      </c>
      <c r="G126" s="88">
        <f t="shared" si="22"/>
        <v>115662.32255322183</v>
      </c>
      <c r="H126" s="88">
        <f t="shared" si="22"/>
        <v>39025.973500639178</v>
      </c>
      <c r="I126" s="88">
        <f t="shared" si="22"/>
        <v>32325.52572033367</v>
      </c>
      <c r="J126" s="88">
        <f t="shared" si="22"/>
        <v>84413.247432462318</v>
      </c>
    </row>
    <row r="127" spans="1:10" ht="20.100000000000001" customHeight="1">
      <c r="A127" s="219" t="s">
        <v>54</v>
      </c>
      <c r="B127" s="103">
        <v>1130</v>
      </c>
      <c r="C127" s="48">
        <f>C128</f>
        <v>398.6</v>
      </c>
      <c r="D127" s="48">
        <f t="shared" ref="D127:J127" si="23">D128</f>
        <v>0</v>
      </c>
      <c r="E127" s="48">
        <f t="shared" si="23"/>
        <v>0</v>
      </c>
      <c r="F127" s="44">
        <f>F128</f>
        <v>0</v>
      </c>
      <c r="G127" s="48">
        <f t="shared" si="23"/>
        <v>0</v>
      </c>
      <c r="H127" s="48">
        <f t="shared" si="23"/>
        <v>0</v>
      </c>
      <c r="I127" s="48">
        <f t="shared" si="23"/>
        <v>0</v>
      </c>
      <c r="J127" s="48">
        <f t="shared" si="23"/>
        <v>0</v>
      </c>
    </row>
    <row r="128" spans="1:10" ht="20.100000000000001" customHeight="1">
      <c r="A128" s="117" t="s">
        <v>459</v>
      </c>
      <c r="B128" s="95"/>
      <c r="C128" s="49">
        <f>[37]Розшиф!C31</f>
        <v>398.6</v>
      </c>
      <c r="D128" s="49">
        <f>[37]Розшиф!D31</f>
        <v>0</v>
      </c>
      <c r="E128" s="49">
        <f>[37]Розшиф!E31</f>
        <v>0</v>
      </c>
      <c r="F128" s="9">
        <f>SUM(G128:J128)</f>
        <v>0</v>
      </c>
      <c r="G128" s="49">
        <f>[37]Розшиф!L31</f>
        <v>0</v>
      </c>
      <c r="H128" s="49">
        <f>[37]Розшиф!M31</f>
        <v>0</v>
      </c>
      <c r="I128" s="49">
        <f>[37]Розшиф!N31</f>
        <v>0</v>
      </c>
      <c r="J128" s="49">
        <f>[37]Розшиф!O31</f>
        <v>0</v>
      </c>
    </row>
    <row r="129" spans="1:10" ht="20.100000000000001" customHeight="1">
      <c r="A129" s="219" t="s">
        <v>55</v>
      </c>
      <c r="B129" s="103">
        <v>1140</v>
      </c>
      <c r="C129" s="44">
        <f>SUM(C130:C132)</f>
        <v>12653.023000000001</v>
      </c>
      <c r="D129" s="44">
        <f>SUM(D130:D132)</f>
        <v>11261.255549952499</v>
      </c>
      <c r="E129" s="44">
        <f t="shared" ref="E129:J129" si="24">SUM(E130:E132)</f>
        <v>10109.491400833333</v>
      </c>
      <c r="F129" s="44">
        <f t="shared" si="24"/>
        <v>12067.183750992001</v>
      </c>
      <c r="G129" s="44">
        <f t="shared" si="24"/>
        <v>5572.9051404799993</v>
      </c>
      <c r="H129" s="44">
        <f t="shared" si="24"/>
        <v>548.5957186666667</v>
      </c>
      <c r="I129" s="44">
        <f t="shared" si="24"/>
        <v>5306.8037840119996</v>
      </c>
      <c r="J129" s="44">
        <f t="shared" si="24"/>
        <v>638.87910783333336</v>
      </c>
    </row>
    <row r="130" spans="1:10" ht="20.100000000000001" customHeight="1">
      <c r="A130" s="117" t="s">
        <v>353</v>
      </c>
      <c r="B130" s="95" t="s">
        <v>456</v>
      </c>
      <c r="C130" s="9">
        <f>[37]Розшиф!C155</f>
        <v>11766.1</v>
      </c>
      <c r="D130" s="9">
        <f>[37]Розшиф!D155</f>
        <v>10167.73065</v>
      </c>
      <c r="E130" s="9">
        <f>[37]Розшиф!E155</f>
        <v>7298.5764250000002</v>
      </c>
      <c r="F130" s="9">
        <f t="shared" ref="F130:F132" si="25">SUM(G130:J130)</f>
        <v>9682.0857334920001</v>
      </c>
      <c r="G130" s="9">
        <f>[37]Розшиф!L155</f>
        <v>4971.8194234799994</v>
      </c>
      <c r="H130" s="9">
        <f>[37]Розшиф!M155</f>
        <v>0</v>
      </c>
      <c r="I130" s="9">
        <f>[37]Розшиф!N155</f>
        <v>4710.2663100119998</v>
      </c>
      <c r="J130" s="9">
        <f>[37]Розшиф!O155</f>
        <v>0</v>
      </c>
    </row>
    <row r="131" spans="1:10" ht="20.100000000000001" customHeight="1">
      <c r="A131" s="117" t="s">
        <v>547</v>
      </c>
      <c r="B131" s="95" t="s">
        <v>457</v>
      </c>
      <c r="C131" s="9">
        <f>[37]Розшиф!C156</f>
        <v>113.1</v>
      </c>
      <c r="D131" s="9">
        <f>[37]Розшиф!D156</f>
        <v>438.9</v>
      </c>
      <c r="E131" s="9">
        <f>[37]Розшиф!E156</f>
        <v>429.875</v>
      </c>
      <c r="F131" s="9">
        <f t="shared" si="25"/>
        <v>429.875</v>
      </c>
      <c r="G131" s="9">
        <f>[37]Розшиф!L156</f>
        <v>0</v>
      </c>
      <c r="H131" s="9">
        <f>[37]Розшиф!M156</f>
        <v>0</v>
      </c>
      <c r="I131" s="9">
        <f>[37]Розшиф!N156</f>
        <v>171.95000000000002</v>
      </c>
      <c r="J131" s="9">
        <f>[37]Розшиф!O156</f>
        <v>257.92500000000001</v>
      </c>
    </row>
    <row r="132" spans="1:10" ht="20.100000000000001" customHeight="1">
      <c r="A132" s="117" t="s">
        <v>356</v>
      </c>
      <c r="B132" s="95" t="s">
        <v>458</v>
      </c>
      <c r="C132" s="9">
        <f>[37]Розшиф!C157</f>
        <v>773.82299999999998</v>
      </c>
      <c r="D132" s="9">
        <f>[37]Розшиф!D157</f>
        <v>654.62489995250019</v>
      </c>
      <c r="E132" s="9">
        <f>[37]Розшиф!E157</f>
        <v>2381.0399758333333</v>
      </c>
      <c r="F132" s="9">
        <f t="shared" si="25"/>
        <v>1955.2230175</v>
      </c>
      <c r="G132" s="9">
        <f>[37]Розшиф!L157</f>
        <v>601.08571700000005</v>
      </c>
      <c r="H132" s="9">
        <f>[37]Розшиф!M157</f>
        <v>548.5957186666667</v>
      </c>
      <c r="I132" s="9">
        <f>[37]Розшиф!N157</f>
        <v>424.58747400000004</v>
      </c>
      <c r="J132" s="9">
        <f>[37]Розшиф!O157</f>
        <v>380.9541078333333</v>
      </c>
    </row>
    <row r="133" spans="1:10" ht="20.100000000000001" customHeight="1">
      <c r="A133" s="219" t="s">
        <v>82</v>
      </c>
      <c r="B133" s="103">
        <v>1150</v>
      </c>
      <c r="C133" s="48">
        <f>C134+C135</f>
        <v>7574</v>
      </c>
      <c r="D133" s="48">
        <f t="shared" ref="D133:J133" si="26">D134+D135</f>
        <v>848</v>
      </c>
      <c r="E133" s="48">
        <f t="shared" si="26"/>
        <v>13941.614000000001</v>
      </c>
      <c r="F133" s="48">
        <f>F134+F135</f>
        <v>840</v>
      </c>
      <c r="G133" s="48">
        <f>G134+G135</f>
        <v>210</v>
      </c>
      <c r="H133" s="48">
        <f t="shared" si="26"/>
        <v>210</v>
      </c>
      <c r="I133" s="48">
        <f t="shared" si="26"/>
        <v>210</v>
      </c>
      <c r="J133" s="48">
        <f t="shared" si="26"/>
        <v>210</v>
      </c>
    </row>
    <row r="134" spans="1:10" ht="20.100000000000001" customHeight="1">
      <c r="A134" s="117" t="s">
        <v>404</v>
      </c>
      <c r="B134" s="95" t="s">
        <v>354</v>
      </c>
      <c r="C134" s="49">
        <f>[37]Розшиф!C33</f>
        <v>6732.5999999999995</v>
      </c>
      <c r="D134" s="49">
        <f>[37]Розшиф!D33</f>
        <v>0</v>
      </c>
      <c r="E134" s="49">
        <f>[37]Розшиф!E33</f>
        <v>13098.614000000001</v>
      </c>
      <c r="F134" s="9">
        <f>SUM(G134:J134)</f>
        <v>0</v>
      </c>
      <c r="G134" s="49">
        <f>[37]Розшиф!L33</f>
        <v>0</v>
      </c>
      <c r="H134" s="49">
        <f>[37]Розшиф!M33</f>
        <v>0</v>
      </c>
      <c r="I134" s="49">
        <f>[37]Розшиф!N33</f>
        <v>0</v>
      </c>
      <c r="J134" s="49">
        <f>[37]Розшиф!O33</f>
        <v>0</v>
      </c>
    </row>
    <row r="135" spans="1:10" ht="20.100000000000001" customHeight="1">
      <c r="A135" s="117" t="s">
        <v>405</v>
      </c>
      <c r="B135" s="95" t="s">
        <v>355</v>
      </c>
      <c r="C135" s="49">
        <f>[37]Розшиф!C34</f>
        <v>841.40000000000009</v>
      </c>
      <c r="D135" s="49">
        <f>[37]Розшиф!D34</f>
        <v>848</v>
      </c>
      <c r="E135" s="49">
        <f>[37]Розшиф!E34</f>
        <v>843</v>
      </c>
      <c r="F135" s="9">
        <f>SUM(G135:J135)</f>
        <v>840</v>
      </c>
      <c r="G135" s="49">
        <f>[37]Розшиф!L34</f>
        <v>210</v>
      </c>
      <c r="H135" s="49">
        <f>[37]Розшиф!M34</f>
        <v>210</v>
      </c>
      <c r="I135" s="49">
        <f>[37]Розшиф!N34</f>
        <v>210</v>
      </c>
      <c r="J135" s="49">
        <f>[37]Розшиф!O34</f>
        <v>210</v>
      </c>
    </row>
    <row r="136" spans="1:10" ht="20.100000000000001" customHeight="1">
      <c r="A136" s="219" t="s">
        <v>83</v>
      </c>
      <c r="B136" s="103">
        <v>1160</v>
      </c>
      <c r="C136" s="44">
        <f>SUM(C137:C146)</f>
        <v>57056.75</v>
      </c>
      <c r="D136" s="44">
        <f t="shared" ref="D136:J136" si="27">SUM(D137:D146)</f>
        <v>716.50337194539588</v>
      </c>
      <c r="E136" s="44">
        <f t="shared" si="27"/>
        <v>998.24683274523579</v>
      </c>
      <c r="F136" s="44">
        <f>SUM(G136:J136)</f>
        <v>1168.2217733300431</v>
      </c>
      <c r="G136" s="44">
        <f t="shared" si="27"/>
        <v>289.41347460055158</v>
      </c>
      <c r="H136" s="44">
        <f t="shared" si="27"/>
        <v>300.72084134780539</v>
      </c>
      <c r="I136" s="44">
        <f t="shared" si="27"/>
        <v>270.90740251286883</v>
      </c>
      <c r="J136" s="44">
        <f t="shared" si="27"/>
        <v>307.18005486881736</v>
      </c>
    </row>
    <row r="137" spans="1:10" ht="20.100000000000001" customHeight="1">
      <c r="A137" s="117" t="s">
        <v>17</v>
      </c>
      <c r="B137" s="95" t="s">
        <v>310</v>
      </c>
      <c r="C137" s="9">
        <f>[37]Розшиф!C159</f>
        <v>17</v>
      </c>
      <c r="D137" s="9">
        <f>[37]Розшиф!D159</f>
        <v>89.916007500000006</v>
      </c>
      <c r="E137" s="9">
        <f>[37]Розшиф!E159</f>
        <v>100.78242499999999</v>
      </c>
      <c r="F137" s="9">
        <f t="shared" ref="F137:F146" si="28">SUM(G137:J137)</f>
        <v>122.10256944548998</v>
      </c>
      <c r="G137" s="9">
        <f>[37]Розшиф!L159</f>
        <v>29.960512199999997</v>
      </c>
      <c r="H137" s="9">
        <f>[37]Розшиф!M159</f>
        <v>29.960512199999997</v>
      </c>
      <c r="I137" s="9">
        <f>[37]Розшиф!N159</f>
        <v>30.859327565999997</v>
      </c>
      <c r="J137" s="9">
        <f>[37]Розшиф!O159</f>
        <v>31.322217479489993</v>
      </c>
    </row>
    <row r="138" spans="1:10" ht="20.100000000000001" customHeight="1">
      <c r="A138" s="117" t="s">
        <v>18</v>
      </c>
      <c r="B138" s="95" t="s">
        <v>311</v>
      </c>
      <c r="C138" s="9">
        <f>[37]Розшиф!C160</f>
        <v>56317.5</v>
      </c>
      <c r="D138" s="9">
        <f>[37]Розшиф!D160</f>
        <v>19.781521650000002</v>
      </c>
      <c r="E138" s="9">
        <f>[37]Розшиф!E160</f>
        <v>21.8601335</v>
      </c>
      <c r="F138" s="9">
        <f t="shared" si="28"/>
        <v>26.862565278007793</v>
      </c>
      <c r="G138" s="9">
        <f>[37]Розшиф!L160</f>
        <v>6.5913126839999991</v>
      </c>
      <c r="H138" s="9">
        <f>[37]Розшиф!M160</f>
        <v>6.5913126839999991</v>
      </c>
      <c r="I138" s="9">
        <f>[37]Розшиф!N160</f>
        <v>6.7890520645199999</v>
      </c>
      <c r="J138" s="9">
        <f>[37]Розшиф!O160</f>
        <v>6.8908878454877982</v>
      </c>
    </row>
    <row r="139" spans="1:10" ht="20.100000000000001" customHeight="1">
      <c r="A139" s="117" t="s">
        <v>357</v>
      </c>
      <c r="B139" s="95" t="s">
        <v>460</v>
      </c>
      <c r="C139" s="9">
        <f>[37]Розшиф!C161</f>
        <v>191.4</v>
      </c>
      <c r="D139" s="9">
        <f>[37]Розшиф!D161</f>
        <v>0</v>
      </c>
      <c r="E139" s="9">
        <f>[37]Розшиф!E161</f>
        <v>0</v>
      </c>
      <c r="F139" s="9">
        <f t="shared" si="28"/>
        <v>0</v>
      </c>
      <c r="G139" s="9">
        <f>[37]Розшиф!L161</f>
        <v>0</v>
      </c>
      <c r="H139" s="9">
        <f>[37]Розшиф!M161</f>
        <v>0</v>
      </c>
      <c r="I139" s="9">
        <f>[37]Розшиф!N161</f>
        <v>0</v>
      </c>
      <c r="J139" s="9">
        <f>[37]Розшиф!O161</f>
        <v>0</v>
      </c>
    </row>
    <row r="140" spans="1:10" ht="20.100000000000001" customHeight="1">
      <c r="A140" s="117" t="s">
        <v>358</v>
      </c>
      <c r="B140" s="95" t="s">
        <v>461</v>
      </c>
      <c r="C140" s="9">
        <f>[37]Розшиф!C162</f>
        <v>107.8</v>
      </c>
      <c r="D140" s="9">
        <f>[37]Розшиф!D162</f>
        <v>58</v>
      </c>
      <c r="E140" s="9">
        <f>[37]Розшиф!E162</f>
        <v>49.8</v>
      </c>
      <c r="F140" s="9">
        <f t="shared" si="28"/>
        <v>49.8</v>
      </c>
      <c r="G140" s="9">
        <f>[37]Розшиф!L162</f>
        <v>7.9</v>
      </c>
      <c r="H140" s="9">
        <f>[37]Розшиф!M162</f>
        <v>19.899999999999999</v>
      </c>
      <c r="I140" s="9">
        <f>[37]Розшиф!N162</f>
        <v>10</v>
      </c>
      <c r="J140" s="9">
        <f>[37]Розшиф!O162</f>
        <v>12</v>
      </c>
    </row>
    <row r="141" spans="1:10" ht="20.100000000000001" customHeight="1">
      <c r="A141" s="117" t="s">
        <v>359</v>
      </c>
      <c r="B141" s="95" t="s">
        <v>462</v>
      </c>
      <c r="C141" s="9">
        <f>[37]Розшиф!C163</f>
        <v>249.70000000000002</v>
      </c>
      <c r="D141" s="9">
        <f>[37]Розшиф!D163</f>
        <v>8</v>
      </c>
      <c r="E141" s="9">
        <f>[37]Розшиф!E163</f>
        <v>275.89999999999998</v>
      </c>
      <c r="F141" s="9">
        <f t="shared" si="28"/>
        <v>308</v>
      </c>
      <c r="G141" s="9">
        <f>[37]Розшиф!L163</f>
        <v>77</v>
      </c>
      <c r="H141" s="9">
        <f>[37]Розшиф!M163</f>
        <v>77</v>
      </c>
      <c r="I141" s="9">
        <f>[37]Розшиф!N163</f>
        <v>77</v>
      </c>
      <c r="J141" s="9">
        <f>[37]Розшиф!O163</f>
        <v>77</v>
      </c>
    </row>
    <row r="142" spans="1:10" ht="20.100000000000001" customHeight="1">
      <c r="A142" s="117" t="s">
        <v>360</v>
      </c>
      <c r="B142" s="95" t="s">
        <v>463</v>
      </c>
      <c r="C142" s="9">
        <f>[37]Розшиф!C164</f>
        <v>16.8</v>
      </c>
      <c r="D142" s="9">
        <f>[37]Розшиф!D164</f>
        <v>260.00584279539595</v>
      </c>
      <c r="E142" s="9">
        <f>[37]Розшиф!E164</f>
        <v>301.60427424523573</v>
      </c>
      <c r="F142" s="9">
        <f t="shared" si="28"/>
        <v>391.76163860654538</v>
      </c>
      <c r="G142" s="9">
        <f>[37]Розшиф!L164</f>
        <v>96.176649716551594</v>
      </c>
      <c r="H142" s="9">
        <f>[37]Розшиф!M164</f>
        <v>96.764016463805419</v>
      </c>
      <c r="I142" s="9">
        <f>[37]Розшиф!N164</f>
        <v>97.354022882348787</v>
      </c>
      <c r="J142" s="9">
        <f>[37]Розшиф!O164</f>
        <v>101.4669495438396</v>
      </c>
    </row>
    <row r="143" spans="1:10" ht="20.100000000000001" customHeight="1">
      <c r="A143" s="117" t="s">
        <v>361</v>
      </c>
      <c r="B143" s="95" t="s">
        <v>464</v>
      </c>
      <c r="C143" s="9">
        <f>[37]Розшиф!C165</f>
        <v>17.100000000000001</v>
      </c>
      <c r="D143" s="9">
        <f>[37]Розшиф!D165</f>
        <v>70</v>
      </c>
      <c r="E143" s="9">
        <f>[37]Розшиф!E165</f>
        <v>37.9</v>
      </c>
      <c r="F143" s="9">
        <f t="shared" si="28"/>
        <v>45</v>
      </c>
      <c r="G143" s="9">
        <f>[37]Розшиф!L165</f>
        <v>20</v>
      </c>
      <c r="H143" s="9">
        <f>[37]Розшиф!M165</f>
        <v>10</v>
      </c>
      <c r="I143" s="9">
        <f>[37]Розшиф!N165</f>
        <v>0</v>
      </c>
      <c r="J143" s="9">
        <f>[37]Розшиф!O165</f>
        <v>15</v>
      </c>
    </row>
    <row r="144" spans="1:10" ht="20.100000000000001" customHeight="1">
      <c r="A144" s="117" t="s">
        <v>362</v>
      </c>
      <c r="B144" s="95" t="s">
        <v>465</v>
      </c>
      <c r="C144" s="9">
        <f>[37]Розшиф!C166</f>
        <v>17.100000000000001</v>
      </c>
      <c r="D144" s="9">
        <f>[37]Розшиф!D166</f>
        <v>16</v>
      </c>
      <c r="E144" s="9">
        <f>[37]Розшиф!E166</f>
        <v>32.700000000000003</v>
      </c>
      <c r="F144" s="9">
        <f t="shared" si="28"/>
        <v>34.335000000000001</v>
      </c>
      <c r="G144" s="9">
        <f>[37]Розшиф!L166</f>
        <v>11.025</v>
      </c>
      <c r="H144" s="9">
        <f>[37]Розшиф!M166</f>
        <v>6.4050000000000002</v>
      </c>
      <c r="I144" s="9">
        <f>[37]Розшиф!N166</f>
        <v>6.4050000000000002</v>
      </c>
      <c r="J144" s="9">
        <f>[37]Розшиф!O166</f>
        <v>10.5</v>
      </c>
    </row>
    <row r="145" spans="1:11" ht="20.100000000000001" customHeight="1">
      <c r="A145" s="117" t="s">
        <v>363</v>
      </c>
      <c r="B145" s="95" t="s">
        <v>466</v>
      </c>
      <c r="C145" s="9">
        <f>[37]Розшиф!C167</f>
        <v>4.95</v>
      </c>
      <c r="D145" s="9">
        <f>[37]Розшиф!D167</f>
        <v>70</v>
      </c>
      <c r="E145" s="9">
        <f>[37]Розшиф!E167</f>
        <v>69.099999999999994</v>
      </c>
      <c r="F145" s="9">
        <f t="shared" si="28"/>
        <v>70.900000000000006</v>
      </c>
      <c r="G145" s="9">
        <f>[37]Розшиф!L167</f>
        <v>15.9</v>
      </c>
      <c r="H145" s="9">
        <f>[37]Розшиф!M167</f>
        <v>20</v>
      </c>
      <c r="I145" s="9">
        <f>[37]Розшиф!N167</f>
        <v>15</v>
      </c>
      <c r="J145" s="9">
        <f>[37]Розшиф!O167</f>
        <v>20</v>
      </c>
    </row>
    <row r="146" spans="1:11" ht="20.100000000000001" customHeight="1">
      <c r="A146" s="117" t="s">
        <v>364</v>
      </c>
      <c r="B146" s="95" t="s">
        <v>467</v>
      </c>
      <c r="C146" s="9">
        <f>[37]Розшиф!C168</f>
        <v>117.4</v>
      </c>
      <c r="D146" s="9">
        <f>[37]Розшиф!D168</f>
        <v>124.8</v>
      </c>
      <c r="E146" s="9">
        <f>[37]Розшиф!E168</f>
        <v>108.6</v>
      </c>
      <c r="F146" s="9">
        <f t="shared" si="28"/>
        <v>119.46000000000001</v>
      </c>
      <c r="G146" s="9">
        <f>[37]Розшиф!L168</f>
        <v>24.86</v>
      </c>
      <c r="H146" s="9">
        <f>[37]Розшиф!M168</f>
        <v>34.1</v>
      </c>
      <c r="I146" s="9">
        <f>[37]Розшиф!N168</f>
        <v>27.500000000000004</v>
      </c>
      <c r="J146" s="9">
        <f>[37]Розшиф!O168</f>
        <v>33</v>
      </c>
    </row>
    <row r="147" spans="1:11" s="82" customFormat="1" ht="43.5" customHeight="1">
      <c r="A147" s="85" t="s">
        <v>106</v>
      </c>
      <c r="B147" s="93">
        <v>1170</v>
      </c>
      <c r="C147" s="86">
        <f>(C126+C127+C133)-C129-C136</f>
        <v>41952.03632786886</v>
      </c>
      <c r="D147" s="86">
        <f t="shared" ref="D147:J147" si="29">(D126+D127+D133)-D129-D136</f>
        <v>34167.606385643114</v>
      </c>
      <c r="E147" s="86">
        <f t="shared" si="29"/>
        <v>36911.920164960306</v>
      </c>
      <c r="F147" s="86">
        <f t="shared" si="29"/>
        <v>259031.66368233497</v>
      </c>
      <c r="G147" s="86">
        <f t="shared" si="29"/>
        <v>110010.00393814128</v>
      </c>
      <c r="H147" s="86">
        <f t="shared" si="29"/>
        <v>38386.656940624707</v>
      </c>
      <c r="I147" s="86">
        <f t="shared" si="29"/>
        <v>26957.814533808803</v>
      </c>
      <c r="J147" s="86">
        <f t="shared" si="29"/>
        <v>83677.188269760169</v>
      </c>
    </row>
    <row r="148" spans="1:11" s="83" customFormat="1" ht="20.100000000000001" customHeight="1">
      <c r="A148" s="89" t="s">
        <v>62</v>
      </c>
      <c r="B148" s="104">
        <v>1180</v>
      </c>
      <c r="C148" s="90">
        <f>[37]Розшиф!C178</f>
        <v>8670</v>
      </c>
      <c r="D148" s="90">
        <f>[37]Розшиф!D178</f>
        <v>8436.9903904536113</v>
      </c>
      <c r="E148" s="90">
        <f>[37]Розшиф!E178</f>
        <v>6644.1456296928363</v>
      </c>
      <c r="F148" s="90">
        <f>[37]Розшиф!K178</f>
        <v>46625.699462820296</v>
      </c>
      <c r="G148" s="90">
        <f>[37]Розшиф!L178</f>
        <v>19801.800708865419</v>
      </c>
      <c r="H148" s="90">
        <f>[37]Розшиф!M178</f>
        <v>6909.5982493124511</v>
      </c>
      <c r="I148" s="90">
        <f>[37]Розшиф!N178</f>
        <v>4852.4066160855873</v>
      </c>
      <c r="J148" s="90">
        <f>[37]Розшиф!O178</f>
        <v>15061.89388855684</v>
      </c>
    </row>
    <row r="149" spans="1:11" s="83" customFormat="1" ht="20.100000000000001" customHeight="1">
      <c r="A149" s="89" t="s">
        <v>63</v>
      </c>
      <c r="B149" s="104">
        <v>1190</v>
      </c>
      <c r="C149" s="90"/>
      <c r="D149" s="90"/>
      <c r="E149" s="90"/>
      <c r="F149" s="90"/>
      <c r="G149" s="90"/>
      <c r="H149" s="90"/>
      <c r="I149" s="90"/>
      <c r="J149" s="90"/>
    </row>
    <row r="150" spans="1:11" s="82" customFormat="1" ht="43.5" customHeight="1">
      <c r="A150" s="85" t="s">
        <v>107</v>
      </c>
      <c r="B150" s="93">
        <v>1200</v>
      </c>
      <c r="C150" s="86">
        <f>C147-C148</f>
        <v>33282.03632786886</v>
      </c>
      <c r="D150" s="86">
        <f t="shared" ref="D150:J150" si="30">D147-D148</f>
        <v>25730.615995189502</v>
      </c>
      <c r="E150" s="86">
        <f t="shared" si="30"/>
        <v>30267.774535267468</v>
      </c>
      <c r="F150" s="86">
        <f t="shared" si="30"/>
        <v>212405.96421951469</v>
      </c>
      <c r="G150" s="86">
        <f t="shared" si="30"/>
        <v>90208.203229275852</v>
      </c>
      <c r="H150" s="86">
        <f t="shared" si="30"/>
        <v>31477.058691312257</v>
      </c>
      <c r="I150" s="86">
        <f t="shared" si="30"/>
        <v>22105.407917723216</v>
      </c>
      <c r="J150" s="86">
        <f t="shared" si="30"/>
        <v>68615.294381203334</v>
      </c>
    </row>
    <row r="151" spans="1:11" s="291" customFormat="1" ht="20.100000000000001" customHeight="1">
      <c r="A151" s="265" t="s">
        <v>96</v>
      </c>
      <c r="B151" s="265"/>
      <c r="C151" s="265"/>
      <c r="D151" s="265"/>
      <c r="E151" s="266"/>
      <c r="F151" s="266"/>
      <c r="G151" s="265"/>
      <c r="H151" s="265"/>
      <c r="I151" s="265"/>
      <c r="J151" s="265"/>
    </row>
    <row r="152" spans="1:11" ht="20.100000000000001" customHeight="1">
      <c r="A152" s="8" t="s">
        <v>8</v>
      </c>
      <c r="B152" s="95">
        <v>1210</v>
      </c>
      <c r="C152" s="9">
        <f t="shared" ref="C152:J152" si="31">C7+C79+C128+C133</f>
        <v>560607.0199999999</v>
      </c>
      <c r="D152" s="9">
        <f t="shared" si="31"/>
        <v>612170.80140349665</v>
      </c>
      <c r="E152" s="9">
        <f t="shared" si="31"/>
        <v>801527.55821838602</v>
      </c>
      <c r="F152" s="9">
        <f t="shared" si="31"/>
        <v>1181657.6178697804</v>
      </c>
      <c r="G152" s="9">
        <f t="shared" si="31"/>
        <v>493256.19761039526</v>
      </c>
      <c r="H152" s="9">
        <f t="shared" si="31"/>
        <v>163838.59135444707</v>
      </c>
      <c r="I152" s="9">
        <f t="shared" si="31"/>
        <v>136801.03898594831</v>
      </c>
      <c r="J152" s="9">
        <f t="shared" si="31"/>
        <v>387761.7899189897</v>
      </c>
    </row>
    <row r="153" spans="1:11" ht="20.100000000000001" customHeight="1">
      <c r="A153" s="8" t="s">
        <v>58</v>
      </c>
      <c r="B153" s="95">
        <v>1220</v>
      </c>
      <c r="C153" s="9">
        <f t="shared" ref="C153:J153" si="32">C8+C37+C71+C99+C129+C136+C148</f>
        <v>527324.98367213109</v>
      </c>
      <c r="D153" s="9">
        <f t="shared" si="32"/>
        <v>586440.18540830701</v>
      </c>
      <c r="E153" s="9">
        <f t="shared" si="32"/>
        <v>771259.78368311864</v>
      </c>
      <c r="F153" s="9">
        <f t="shared" si="32"/>
        <v>969251.65365026554</v>
      </c>
      <c r="G153" s="9">
        <f t="shared" si="32"/>
        <v>403047.99438111938</v>
      </c>
      <c r="H153" s="9">
        <f t="shared" si="32"/>
        <v>132361.5326631348</v>
      </c>
      <c r="I153" s="9">
        <f t="shared" si="32"/>
        <v>114695.63106822508</v>
      </c>
      <c r="J153" s="9">
        <f t="shared" si="32"/>
        <v>319146.49553778634</v>
      </c>
    </row>
    <row r="154" spans="1:11" ht="20.100000000000001" customHeight="1">
      <c r="A154" s="427" t="s">
        <v>87</v>
      </c>
      <c r="B154" s="428"/>
      <c r="C154" s="428"/>
      <c r="D154" s="428"/>
      <c r="E154" s="428"/>
      <c r="F154" s="428"/>
      <c r="G154" s="428"/>
      <c r="H154" s="428"/>
      <c r="I154" s="428"/>
      <c r="J154" s="429"/>
      <c r="K154" s="121"/>
    </row>
    <row r="155" spans="1:11" ht="20.100000000000001" customHeight="1">
      <c r="A155" s="8" t="s">
        <v>97</v>
      </c>
      <c r="B155" s="105">
        <v>1400</v>
      </c>
      <c r="C155" s="49">
        <f>C156+C157</f>
        <v>263314.80000000005</v>
      </c>
      <c r="D155" s="49">
        <f>D156+D157</f>
        <v>288110.79317084054</v>
      </c>
      <c r="E155" s="49">
        <f>E156+E157</f>
        <v>534626.49987432384</v>
      </c>
      <c r="F155" s="49">
        <f>F156+F157</f>
        <v>640069.60326752032</v>
      </c>
      <c r="G155" s="49">
        <f>G156+G157</f>
        <v>303858.37596193579</v>
      </c>
      <c r="H155" s="49">
        <f t="shared" ref="H155:J155" si="33">H156+H157</f>
        <v>64245.127431260487</v>
      </c>
      <c r="I155" s="49">
        <f t="shared" si="33"/>
        <v>43748.613690437967</v>
      </c>
      <c r="J155" s="49">
        <f t="shared" si="33"/>
        <v>228217.48618388598</v>
      </c>
    </row>
    <row r="156" spans="1:11" ht="20.100000000000001" customHeight="1">
      <c r="A156" s="124" t="s">
        <v>95</v>
      </c>
      <c r="B156" s="105">
        <v>1401</v>
      </c>
      <c r="C156" s="49">
        <f>[37]Розшиф!C200</f>
        <v>7585.0000000000018</v>
      </c>
      <c r="D156" s="49">
        <f>[37]Розшиф!D200</f>
        <v>5719.6353000000008</v>
      </c>
      <c r="E156" s="49">
        <f>[37]Розшиф!E200</f>
        <v>5805.3194166666663</v>
      </c>
      <c r="F156" s="9">
        <f>SUM(G156:J156)</f>
        <v>6383.2416666666668</v>
      </c>
      <c r="G156" s="9">
        <f>[37]Розшиф!L200</f>
        <v>1505.0325</v>
      </c>
      <c r="H156" s="9">
        <f>[37]Розшиф!M200</f>
        <v>1492.8525</v>
      </c>
      <c r="I156" s="9">
        <f>[37]Розшиф!N200</f>
        <v>1376.5775000000001</v>
      </c>
      <c r="J156" s="9">
        <f>[37]Розшиф!O200</f>
        <v>2008.7791666666667</v>
      </c>
    </row>
    <row r="157" spans="1:11" ht="20.100000000000001" customHeight="1">
      <c r="A157" s="124" t="s">
        <v>12</v>
      </c>
      <c r="B157" s="105">
        <v>1402</v>
      </c>
      <c r="C157" s="49">
        <f>[37]Розшиф!C201</f>
        <v>255729.80000000002</v>
      </c>
      <c r="D157" s="49">
        <f>[37]Розшиф!D201</f>
        <v>282391.15787084051</v>
      </c>
      <c r="E157" s="49">
        <f>[37]Розшиф!E201</f>
        <v>528821.1804576572</v>
      </c>
      <c r="F157" s="9">
        <f>SUM(G157:J157)</f>
        <v>633686.36160085362</v>
      </c>
      <c r="G157" s="9">
        <f>[37]Розшиф!L201</f>
        <v>302353.34346193582</v>
      </c>
      <c r="H157" s="9">
        <f>[37]Розшиф!M201</f>
        <v>62752.274931260486</v>
      </c>
      <c r="I157" s="9">
        <f>[37]Розшиф!N201</f>
        <v>42372.036190437968</v>
      </c>
      <c r="J157" s="9">
        <f>[37]Розшиф!O201</f>
        <v>226208.70701721931</v>
      </c>
    </row>
    <row r="158" spans="1:11" ht="20.100000000000001" customHeight="1">
      <c r="A158" s="8" t="s">
        <v>4</v>
      </c>
      <c r="B158" s="105">
        <v>1410</v>
      </c>
      <c r="C158" s="49">
        <v>85548</v>
      </c>
      <c r="D158" s="49">
        <f>[37]Розшиф!D195</f>
        <v>97772.166999999987</v>
      </c>
      <c r="E158" s="49">
        <f>[37]Розшиф!E195</f>
        <v>102697.08854148131</v>
      </c>
      <c r="F158" s="9">
        <f t="shared" ref="F158:F161" si="34">SUM(G158:J158)</f>
        <v>133395.92015999998</v>
      </c>
      <c r="G158" s="9">
        <f>[37]Розшиф!L195</f>
        <v>32748.414909838626</v>
      </c>
      <c r="H158" s="9">
        <f>[37]Розшиф!M195</f>
        <v>32948.414909838626</v>
      </c>
      <c r="I158" s="9">
        <f>[37]Розшиф!N195</f>
        <v>33149.313725204629</v>
      </c>
      <c r="J158" s="9">
        <f>[37]Розшиф!O195</f>
        <v>34549.776615118113</v>
      </c>
    </row>
    <row r="159" spans="1:11" ht="20.100000000000001" customHeight="1">
      <c r="A159" s="8" t="s">
        <v>5</v>
      </c>
      <c r="B159" s="105">
        <v>1420</v>
      </c>
      <c r="C159" s="49">
        <v>17687</v>
      </c>
      <c r="D159" s="49">
        <f>[37]Розшиф!D196</f>
        <v>21509.876739999996</v>
      </c>
      <c r="E159" s="49">
        <f>[37]Розшиф!E196</f>
        <v>23399.902282675066</v>
      </c>
      <c r="F159" s="9">
        <f t="shared" si="34"/>
        <v>29145.083035199998</v>
      </c>
      <c r="G159" s="9">
        <f>[37]Розшиф!L196</f>
        <v>7156.1464301644974</v>
      </c>
      <c r="H159" s="9">
        <f>[37]Розшиф!M196</f>
        <v>7198.1464301644974</v>
      </c>
      <c r="I159" s="9">
        <f>[37]Розшиф!N196</f>
        <v>7242.3441695450174</v>
      </c>
      <c r="J159" s="9">
        <f>[37]Розшиф!O196</f>
        <v>7548.4460053259854</v>
      </c>
    </row>
    <row r="160" spans="1:11" ht="20.100000000000001" customHeight="1">
      <c r="A160" s="8" t="s">
        <v>6</v>
      </c>
      <c r="B160" s="105">
        <v>1430</v>
      </c>
      <c r="C160" s="49">
        <v>24957</v>
      </c>
      <c r="D160" s="49">
        <f>[37]Розшиф!D202</f>
        <v>25498</v>
      </c>
      <c r="E160" s="49">
        <f>[37]Розшиф!E202</f>
        <v>26311</v>
      </c>
      <c r="F160" s="9">
        <f t="shared" si="34"/>
        <v>28913.599999999999</v>
      </c>
      <c r="G160" s="9">
        <f>[37]Розшиф!L202</f>
        <v>7228.4</v>
      </c>
      <c r="H160" s="9">
        <f>[37]Розшиф!M202</f>
        <v>7228.4</v>
      </c>
      <c r="I160" s="9">
        <f>[37]Розшиф!N202</f>
        <v>7228.4</v>
      </c>
      <c r="J160" s="9">
        <f>[37]Розшиф!O202</f>
        <v>7228.4</v>
      </c>
    </row>
    <row r="161" spans="1:10" ht="20.100000000000001" customHeight="1">
      <c r="A161" s="8" t="s">
        <v>13</v>
      </c>
      <c r="B161" s="105">
        <v>1440</v>
      </c>
      <c r="C161" s="49">
        <v>31953</v>
      </c>
      <c r="D161" s="49">
        <f>D162-D155-D158-D159-D160</f>
        <v>133134.59918511502</v>
      </c>
      <c r="E161" s="49">
        <f>[37]Розшиф!E205</f>
        <v>66473.409121367033</v>
      </c>
      <c r="F161" s="9">
        <f t="shared" si="34"/>
        <v>77866.342200403044</v>
      </c>
      <c r="G161" s="9">
        <f>[37]Розшиф!L205</f>
        <v>26392.537755234538</v>
      </c>
      <c r="H161" s="9">
        <f>[37]Розшиф!M205</f>
        <v>12982.529082544252</v>
      </c>
      <c r="I161" s="9">
        <f>[37]Розшиф!N205</f>
        <v>12896.841680427018</v>
      </c>
      <c r="J161" s="9">
        <f>[37]Розшиф!O205</f>
        <v>25594.433682197232</v>
      </c>
    </row>
    <row r="162" spans="1:10" s="291" customFormat="1" ht="20.100000000000001" customHeight="1">
      <c r="A162" s="219" t="s">
        <v>27</v>
      </c>
      <c r="B162" s="106">
        <v>1450</v>
      </c>
      <c r="C162" s="48">
        <f>C155+C158+C159+C160+C161</f>
        <v>423459.80000000005</v>
      </c>
      <c r="D162" s="48">
        <f>[37]Розшиф!D206</f>
        <v>566025.43609595555</v>
      </c>
      <c r="E162" s="48">
        <f>E155+E158+E159+E160+E161</f>
        <v>753507.8998198472</v>
      </c>
      <c r="F162" s="48">
        <f>F155+F158+F159+F160+F161</f>
        <v>909390.54866312328</v>
      </c>
      <c r="G162" s="48">
        <f t="shared" ref="G162:J162" si="35">G155+G158+G159+G160+G161</f>
        <v>377383.87505717349</v>
      </c>
      <c r="H162" s="48">
        <f t="shared" si="35"/>
        <v>124602.61785380787</v>
      </c>
      <c r="I162" s="48">
        <f t="shared" si="35"/>
        <v>104265.51326561463</v>
      </c>
      <c r="J162" s="48">
        <f t="shared" si="35"/>
        <v>303138.54248652735</v>
      </c>
    </row>
    <row r="163" spans="1:10" s="291" customFormat="1" ht="20.100000000000001" customHeight="1" outlineLevel="1">
      <c r="A163" s="28"/>
      <c r="B163" s="107"/>
      <c r="C163" s="32"/>
      <c r="D163" s="32"/>
      <c r="E163" s="32"/>
      <c r="F163" s="32"/>
      <c r="G163" s="33"/>
      <c r="H163" s="33"/>
      <c r="I163" s="33"/>
      <c r="J163" s="33"/>
    </row>
    <row r="164" spans="1:10" s="291" customFormat="1" ht="20.100000000000001" customHeight="1" outlineLevel="1">
      <c r="A164" s="28"/>
      <c r="B164" s="107"/>
      <c r="C164" s="32"/>
      <c r="D164" s="32"/>
      <c r="E164" s="32"/>
      <c r="F164" s="32"/>
      <c r="G164" s="33"/>
      <c r="H164" s="33"/>
      <c r="I164" s="33"/>
      <c r="J164" s="33"/>
    </row>
    <row r="165" spans="1:10" ht="16.5" customHeight="1" outlineLevel="1">
      <c r="A165" s="306"/>
      <c r="C165" s="308"/>
      <c r="D165" s="308"/>
      <c r="E165" s="308"/>
      <c r="F165" s="308"/>
      <c r="G165" s="18"/>
      <c r="H165" s="18"/>
      <c r="I165" s="18"/>
      <c r="J165" s="18"/>
    </row>
    <row r="166" spans="1:10" ht="20.100000000000001" customHeight="1">
      <c r="A166" s="296" t="s">
        <v>368</v>
      </c>
      <c r="B166" s="108"/>
      <c r="C166" s="425" t="s">
        <v>88</v>
      </c>
      <c r="D166" s="425"/>
      <c r="E166" s="425"/>
      <c r="F166" s="425"/>
      <c r="G166" s="10"/>
      <c r="H166" s="426" t="s">
        <v>369</v>
      </c>
      <c r="I166" s="426"/>
      <c r="J166" s="426"/>
    </row>
    <row r="167" spans="1:10" s="2" customFormat="1" ht="20.100000000000001" customHeight="1">
      <c r="A167" s="309"/>
      <c r="B167" s="109"/>
      <c r="C167" s="414" t="s">
        <v>101</v>
      </c>
      <c r="D167" s="414"/>
      <c r="E167" s="414"/>
      <c r="F167" s="414"/>
      <c r="G167" s="17"/>
      <c r="H167" s="415"/>
      <c r="I167" s="415"/>
      <c r="J167" s="415"/>
    </row>
    <row r="168" spans="1:10" ht="20.100000000000001" customHeight="1">
      <c r="A168" s="306"/>
      <c r="C168" s="308"/>
      <c r="D168" s="308"/>
      <c r="E168" s="308"/>
      <c r="F168" s="308"/>
      <c r="G168" s="18"/>
      <c r="H168" s="18"/>
      <c r="I168" s="18"/>
      <c r="J168" s="18"/>
    </row>
    <row r="169" spans="1:10">
      <c r="A169" s="306"/>
      <c r="C169" s="308"/>
      <c r="D169" s="308"/>
      <c r="E169" s="308"/>
      <c r="F169" s="308"/>
      <c r="G169" s="18"/>
      <c r="H169" s="18"/>
      <c r="I169" s="18"/>
      <c r="J169" s="18"/>
    </row>
    <row r="170" spans="1:10">
      <c r="A170" s="306"/>
      <c r="C170" s="308"/>
      <c r="D170" s="308"/>
      <c r="E170" s="308"/>
      <c r="F170" s="308"/>
      <c r="G170" s="18"/>
      <c r="H170" s="18"/>
      <c r="I170" s="18"/>
      <c r="J170" s="18"/>
    </row>
    <row r="171" spans="1:10">
      <c r="A171" s="306"/>
      <c r="C171" s="308"/>
      <c r="D171" s="308"/>
      <c r="E171" s="308"/>
      <c r="F171" s="308"/>
      <c r="G171" s="18"/>
      <c r="H171" s="18"/>
      <c r="I171" s="18"/>
      <c r="J171" s="18"/>
    </row>
    <row r="172" spans="1:10">
      <c r="A172" s="306"/>
      <c r="C172" s="308"/>
      <c r="D172" s="308"/>
      <c r="E172" s="308"/>
      <c r="F172" s="308"/>
      <c r="G172" s="18"/>
      <c r="H172" s="18"/>
      <c r="I172" s="18"/>
      <c r="J172" s="18"/>
    </row>
    <row r="173" spans="1:10">
      <c r="A173" s="306"/>
      <c r="C173" s="308"/>
      <c r="D173" s="308"/>
      <c r="E173" s="308"/>
      <c r="F173" s="308"/>
      <c r="G173" s="18"/>
      <c r="H173" s="18"/>
      <c r="I173" s="18"/>
      <c r="J173" s="18"/>
    </row>
    <row r="174" spans="1:10">
      <c r="A174" s="306"/>
      <c r="C174" s="308"/>
      <c r="D174" s="308"/>
      <c r="E174" s="308"/>
      <c r="F174" s="308"/>
      <c r="G174" s="18"/>
      <c r="H174" s="18"/>
      <c r="I174" s="18"/>
      <c r="J174" s="18"/>
    </row>
    <row r="175" spans="1:10">
      <c r="A175" s="306"/>
      <c r="C175" s="308"/>
      <c r="D175" s="308"/>
      <c r="E175" s="308"/>
      <c r="F175" s="308"/>
      <c r="G175" s="18"/>
      <c r="H175" s="18"/>
      <c r="I175" s="18"/>
      <c r="J175" s="18"/>
    </row>
    <row r="176" spans="1:10">
      <c r="A176" s="306"/>
      <c r="C176" s="308"/>
      <c r="D176" s="308"/>
      <c r="E176" s="308"/>
      <c r="F176" s="308"/>
      <c r="G176" s="18"/>
      <c r="H176" s="18"/>
      <c r="I176" s="18"/>
      <c r="J176" s="18"/>
    </row>
    <row r="177" spans="1:10">
      <c r="A177" s="306"/>
      <c r="C177" s="308"/>
      <c r="D177" s="308"/>
      <c r="E177" s="308"/>
      <c r="F177" s="308"/>
      <c r="G177" s="18"/>
      <c r="H177" s="18"/>
      <c r="I177" s="18"/>
      <c r="J177" s="18"/>
    </row>
    <row r="178" spans="1:10">
      <c r="A178" s="306"/>
      <c r="C178" s="308"/>
      <c r="D178" s="308"/>
      <c r="E178" s="308"/>
      <c r="F178" s="308"/>
      <c r="G178" s="18"/>
      <c r="H178" s="18"/>
      <c r="I178" s="18"/>
      <c r="J178" s="18"/>
    </row>
    <row r="179" spans="1:10">
      <c r="A179" s="306"/>
      <c r="C179" s="308"/>
      <c r="D179" s="308"/>
      <c r="E179" s="308"/>
      <c r="F179" s="308"/>
      <c r="G179" s="18"/>
      <c r="H179" s="18"/>
      <c r="I179" s="18"/>
      <c r="J179" s="18"/>
    </row>
    <row r="180" spans="1:10">
      <c r="A180" s="306"/>
      <c r="C180" s="308"/>
      <c r="D180" s="308"/>
      <c r="E180" s="308"/>
      <c r="F180" s="308"/>
      <c r="G180" s="18"/>
      <c r="H180" s="18"/>
      <c r="I180" s="18"/>
      <c r="J180" s="18"/>
    </row>
    <row r="181" spans="1:10">
      <c r="A181" s="306"/>
      <c r="C181" s="308"/>
      <c r="D181" s="308"/>
      <c r="E181" s="308"/>
      <c r="F181" s="308"/>
      <c r="G181" s="18"/>
      <c r="H181" s="18"/>
      <c r="I181" s="18"/>
      <c r="J181" s="18"/>
    </row>
    <row r="182" spans="1:10">
      <c r="A182" s="306"/>
      <c r="C182" s="308"/>
      <c r="D182" s="308"/>
      <c r="E182" s="308"/>
      <c r="F182" s="308"/>
      <c r="G182" s="18"/>
      <c r="H182" s="18"/>
      <c r="I182" s="18"/>
      <c r="J182" s="18"/>
    </row>
    <row r="183" spans="1:10">
      <c r="A183" s="306"/>
      <c r="C183" s="308"/>
      <c r="D183" s="308"/>
      <c r="E183" s="308"/>
      <c r="F183" s="308"/>
      <c r="G183" s="18"/>
      <c r="H183" s="18"/>
      <c r="I183" s="18"/>
      <c r="J183" s="18"/>
    </row>
    <row r="184" spans="1:10">
      <c r="A184" s="306"/>
      <c r="C184" s="308"/>
      <c r="D184" s="308"/>
      <c r="E184" s="308"/>
      <c r="F184" s="308"/>
      <c r="G184" s="18"/>
      <c r="H184" s="18"/>
      <c r="I184" s="18"/>
      <c r="J184" s="18"/>
    </row>
    <row r="185" spans="1:10">
      <c r="A185" s="306"/>
      <c r="C185" s="308"/>
      <c r="D185" s="308"/>
      <c r="E185" s="308"/>
      <c r="F185" s="308"/>
      <c r="G185" s="18"/>
      <c r="H185" s="18"/>
      <c r="I185" s="18"/>
      <c r="J185" s="18"/>
    </row>
    <row r="186" spans="1:10">
      <c r="A186" s="306"/>
      <c r="C186" s="308"/>
      <c r="D186" s="308"/>
      <c r="E186" s="308"/>
      <c r="F186" s="308"/>
      <c r="G186" s="18"/>
      <c r="H186" s="18"/>
      <c r="I186" s="18"/>
      <c r="J186" s="18"/>
    </row>
    <row r="187" spans="1:10">
      <c r="A187" s="306"/>
      <c r="C187" s="308"/>
      <c r="D187" s="308"/>
      <c r="E187" s="308"/>
      <c r="F187" s="308"/>
      <c r="G187" s="18"/>
      <c r="H187" s="18"/>
      <c r="I187" s="18"/>
      <c r="J187" s="18"/>
    </row>
    <row r="188" spans="1:10">
      <c r="A188" s="306"/>
      <c r="C188" s="308"/>
      <c r="D188" s="308"/>
      <c r="E188" s="308"/>
      <c r="F188" s="308"/>
      <c r="G188" s="18"/>
      <c r="H188" s="18"/>
      <c r="I188" s="18"/>
      <c r="J188" s="18"/>
    </row>
    <row r="189" spans="1:10">
      <c r="A189" s="306"/>
      <c r="C189" s="308"/>
      <c r="D189" s="308"/>
      <c r="E189" s="308"/>
      <c r="F189" s="308"/>
      <c r="G189" s="18"/>
      <c r="H189" s="18"/>
      <c r="I189" s="18"/>
      <c r="J189" s="18"/>
    </row>
    <row r="190" spans="1:10">
      <c r="A190" s="306"/>
      <c r="C190" s="308"/>
      <c r="D190" s="308"/>
      <c r="E190" s="308"/>
      <c r="F190" s="308"/>
      <c r="G190" s="18"/>
      <c r="H190" s="18"/>
      <c r="I190" s="18"/>
      <c r="J190" s="18"/>
    </row>
    <row r="191" spans="1:10">
      <c r="A191" s="306"/>
      <c r="C191" s="308"/>
      <c r="D191" s="308"/>
      <c r="E191" s="308"/>
      <c r="F191" s="308"/>
      <c r="G191" s="18"/>
      <c r="H191" s="18"/>
      <c r="I191" s="18"/>
      <c r="J191" s="18"/>
    </row>
    <row r="192" spans="1:10">
      <c r="A192" s="306"/>
      <c r="C192" s="308"/>
      <c r="D192" s="308"/>
      <c r="E192" s="308"/>
      <c r="F192" s="308"/>
      <c r="G192" s="18"/>
      <c r="H192" s="18"/>
      <c r="I192" s="18"/>
      <c r="J192" s="18"/>
    </row>
    <row r="193" spans="1:10">
      <c r="A193" s="306"/>
      <c r="C193" s="308"/>
      <c r="D193" s="308"/>
      <c r="E193" s="308"/>
      <c r="F193" s="308"/>
      <c r="G193" s="18"/>
      <c r="H193" s="18"/>
      <c r="I193" s="18"/>
      <c r="J193" s="18"/>
    </row>
    <row r="194" spans="1:10">
      <c r="A194" s="306"/>
      <c r="C194" s="308"/>
      <c r="D194" s="308"/>
      <c r="E194" s="308"/>
      <c r="F194" s="308"/>
      <c r="G194" s="18"/>
      <c r="H194" s="18"/>
      <c r="I194" s="18"/>
      <c r="J194" s="18"/>
    </row>
    <row r="195" spans="1:10">
      <c r="A195" s="306"/>
      <c r="C195" s="308"/>
      <c r="D195" s="308"/>
      <c r="E195" s="308"/>
      <c r="F195" s="308"/>
      <c r="G195" s="18"/>
      <c r="H195" s="18"/>
      <c r="I195" s="18"/>
      <c r="J195" s="18"/>
    </row>
    <row r="196" spans="1:10">
      <c r="A196" s="306"/>
      <c r="C196" s="308"/>
      <c r="D196" s="308"/>
      <c r="E196" s="308"/>
      <c r="F196" s="308"/>
      <c r="G196" s="18"/>
      <c r="H196" s="18"/>
      <c r="I196" s="18"/>
      <c r="J196" s="18"/>
    </row>
    <row r="197" spans="1:10">
      <c r="A197" s="306"/>
      <c r="C197" s="308"/>
      <c r="D197" s="308"/>
      <c r="E197" s="308"/>
      <c r="F197" s="308"/>
      <c r="G197" s="18"/>
      <c r="H197" s="18"/>
      <c r="I197" s="18"/>
      <c r="J197" s="18"/>
    </row>
    <row r="198" spans="1:10">
      <c r="A198" s="306"/>
      <c r="C198" s="308"/>
      <c r="D198" s="308"/>
      <c r="E198" s="308"/>
      <c r="F198" s="308"/>
      <c r="G198" s="18"/>
      <c r="H198" s="18"/>
      <c r="I198" s="18"/>
      <c r="J198" s="18"/>
    </row>
    <row r="199" spans="1:10">
      <c r="A199" s="306"/>
      <c r="C199" s="308"/>
      <c r="D199" s="308"/>
      <c r="E199" s="308"/>
      <c r="F199" s="308"/>
      <c r="G199" s="18"/>
      <c r="H199" s="18"/>
      <c r="I199" s="18"/>
      <c r="J199" s="18"/>
    </row>
    <row r="200" spans="1:10">
      <c r="A200" s="306"/>
      <c r="C200" s="308"/>
      <c r="D200" s="308"/>
      <c r="E200" s="308"/>
      <c r="F200" s="308"/>
      <c r="G200" s="18"/>
      <c r="H200" s="18"/>
      <c r="I200" s="18"/>
      <c r="J200" s="18"/>
    </row>
    <row r="201" spans="1:10">
      <c r="A201" s="306"/>
      <c r="C201" s="308"/>
      <c r="D201" s="308"/>
      <c r="E201" s="308"/>
      <c r="F201" s="308"/>
      <c r="G201" s="18"/>
      <c r="H201" s="18"/>
      <c r="I201" s="18"/>
      <c r="J201" s="18"/>
    </row>
    <row r="202" spans="1:10">
      <c r="A202" s="306"/>
      <c r="C202" s="308"/>
      <c r="D202" s="308"/>
      <c r="E202" s="308"/>
      <c r="F202" s="308"/>
      <c r="G202" s="18"/>
      <c r="H202" s="18"/>
      <c r="I202" s="18"/>
      <c r="J202" s="18"/>
    </row>
    <row r="203" spans="1:10">
      <c r="A203" s="306"/>
      <c r="C203" s="308"/>
      <c r="D203" s="308"/>
      <c r="E203" s="308"/>
      <c r="F203" s="308"/>
      <c r="G203" s="18"/>
      <c r="H203" s="18"/>
      <c r="I203" s="18"/>
      <c r="J203" s="18"/>
    </row>
    <row r="204" spans="1:10">
      <c r="A204" s="306"/>
      <c r="C204" s="308"/>
      <c r="D204" s="308"/>
      <c r="E204" s="308"/>
      <c r="F204" s="308"/>
      <c r="G204" s="18"/>
      <c r="H204" s="18"/>
      <c r="I204" s="18"/>
      <c r="J204" s="18"/>
    </row>
    <row r="205" spans="1:10">
      <c r="A205" s="306"/>
      <c r="C205" s="308"/>
      <c r="D205" s="308"/>
      <c r="E205" s="308"/>
      <c r="F205" s="308"/>
      <c r="G205" s="18"/>
      <c r="H205" s="18"/>
      <c r="I205" s="18"/>
      <c r="J205" s="18"/>
    </row>
    <row r="206" spans="1:10">
      <c r="A206" s="306"/>
      <c r="C206" s="308"/>
      <c r="D206" s="308"/>
      <c r="E206" s="308"/>
      <c r="F206" s="308"/>
      <c r="G206" s="18"/>
      <c r="H206" s="18"/>
      <c r="I206" s="18"/>
      <c r="J206" s="18"/>
    </row>
    <row r="207" spans="1:10">
      <c r="A207" s="306"/>
      <c r="C207" s="308"/>
      <c r="D207" s="308"/>
      <c r="E207" s="308"/>
      <c r="F207" s="308"/>
      <c r="G207" s="18"/>
      <c r="H207" s="18"/>
      <c r="I207" s="18"/>
      <c r="J207" s="18"/>
    </row>
    <row r="208" spans="1:10">
      <c r="A208" s="306"/>
      <c r="C208" s="308"/>
      <c r="D208" s="308"/>
      <c r="E208" s="308"/>
      <c r="F208" s="308"/>
      <c r="G208" s="18"/>
      <c r="H208" s="18"/>
      <c r="I208" s="18"/>
      <c r="J208" s="18"/>
    </row>
    <row r="209" spans="1:10">
      <c r="A209" s="306"/>
      <c r="C209" s="308"/>
      <c r="D209" s="308"/>
      <c r="E209" s="308"/>
      <c r="F209" s="308"/>
      <c r="G209" s="18"/>
      <c r="H209" s="18"/>
      <c r="I209" s="18"/>
      <c r="J209" s="18"/>
    </row>
    <row r="210" spans="1:10">
      <c r="A210" s="306"/>
      <c r="C210" s="308"/>
      <c r="D210" s="308"/>
      <c r="E210" s="308"/>
      <c r="F210" s="308"/>
      <c r="G210" s="18"/>
      <c r="H210" s="18"/>
      <c r="I210" s="18"/>
      <c r="J210" s="18"/>
    </row>
    <row r="211" spans="1:10">
      <c r="A211" s="306"/>
      <c r="C211" s="308"/>
      <c r="D211" s="308"/>
      <c r="E211" s="308"/>
      <c r="F211" s="308"/>
      <c r="G211" s="18"/>
      <c r="H211" s="18"/>
      <c r="I211" s="18"/>
      <c r="J211" s="18"/>
    </row>
    <row r="212" spans="1:10">
      <c r="A212" s="306"/>
      <c r="C212" s="308"/>
      <c r="D212" s="308"/>
      <c r="E212" s="308"/>
      <c r="F212" s="308"/>
      <c r="G212" s="18"/>
      <c r="H212" s="18"/>
      <c r="I212" s="18"/>
      <c r="J212" s="18"/>
    </row>
    <row r="213" spans="1:10">
      <c r="A213" s="306"/>
      <c r="C213" s="308"/>
      <c r="D213" s="308"/>
      <c r="E213" s="308"/>
      <c r="F213" s="308"/>
      <c r="G213" s="18"/>
      <c r="H213" s="18"/>
      <c r="I213" s="18"/>
      <c r="J213" s="18"/>
    </row>
    <row r="214" spans="1:10">
      <c r="A214" s="306"/>
      <c r="C214" s="308"/>
      <c r="D214" s="308"/>
      <c r="E214" s="308"/>
      <c r="F214" s="308"/>
      <c r="G214" s="18"/>
      <c r="H214" s="18"/>
      <c r="I214" s="18"/>
      <c r="J214" s="18"/>
    </row>
    <row r="215" spans="1:10">
      <c r="A215" s="306"/>
      <c r="C215" s="308"/>
      <c r="D215" s="308"/>
      <c r="E215" s="308"/>
      <c r="F215" s="308"/>
      <c r="G215" s="18"/>
      <c r="H215" s="18"/>
      <c r="I215" s="18"/>
      <c r="J215" s="18"/>
    </row>
    <row r="216" spans="1:10">
      <c r="A216" s="306"/>
      <c r="C216" s="308"/>
      <c r="D216" s="308"/>
      <c r="E216" s="308"/>
      <c r="F216" s="308"/>
      <c r="G216" s="18"/>
      <c r="H216" s="18"/>
      <c r="I216" s="18"/>
      <c r="J216" s="18"/>
    </row>
    <row r="217" spans="1:10">
      <c r="A217" s="306"/>
      <c r="C217" s="308"/>
      <c r="D217" s="308"/>
      <c r="E217" s="308"/>
      <c r="F217" s="308"/>
      <c r="G217" s="18"/>
      <c r="H217" s="18"/>
      <c r="I217" s="18"/>
      <c r="J217" s="18"/>
    </row>
    <row r="218" spans="1:10">
      <c r="A218" s="306"/>
      <c r="C218" s="308"/>
      <c r="D218" s="308"/>
      <c r="E218" s="308"/>
      <c r="F218" s="308"/>
      <c r="G218" s="18"/>
      <c r="H218" s="18"/>
      <c r="I218" s="18"/>
      <c r="J218" s="18"/>
    </row>
    <row r="219" spans="1:10">
      <c r="A219" s="306"/>
      <c r="C219" s="308"/>
      <c r="D219" s="308"/>
      <c r="E219" s="308"/>
      <c r="F219" s="308"/>
      <c r="G219" s="18"/>
      <c r="H219" s="18"/>
      <c r="I219" s="18"/>
      <c r="J219" s="18"/>
    </row>
    <row r="220" spans="1:10">
      <c r="A220" s="306"/>
      <c r="C220" s="308"/>
      <c r="D220" s="308"/>
      <c r="E220" s="308"/>
      <c r="F220" s="308"/>
      <c r="G220" s="18"/>
      <c r="H220" s="18"/>
      <c r="I220" s="18"/>
      <c r="J220" s="18"/>
    </row>
    <row r="221" spans="1:10">
      <c r="A221" s="306"/>
      <c r="C221" s="308"/>
      <c r="D221" s="308"/>
      <c r="E221" s="308"/>
      <c r="F221" s="308"/>
      <c r="G221" s="18"/>
      <c r="H221" s="18"/>
      <c r="I221" s="18"/>
      <c r="J221" s="18"/>
    </row>
    <row r="222" spans="1:10">
      <c r="A222" s="306"/>
      <c r="C222" s="308"/>
      <c r="D222" s="308"/>
      <c r="E222" s="308"/>
      <c r="F222" s="308"/>
      <c r="G222" s="18"/>
      <c r="H222" s="18"/>
      <c r="I222" s="18"/>
      <c r="J222" s="18"/>
    </row>
    <row r="223" spans="1:10">
      <c r="A223" s="306"/>
      <c r="C223" s="308"/>
      <c r="D223" s="308"/>
      <c r="E223" s="308"/>
      <c r="F223" s="308"/>
      <c r="G223" s="18"/>
      <c r="H223" s="18"/>
      <c r="I223" s="18"/>
      <c r="J223" s="18"/>
    </row>
    <row r="224" spans="1:10">
      <c r="A224" s="306"/>
      <c r="C224" s="308"/>
      <c r="D224" s="308"/>
      <c r="E224" s="308"/>
      <c r="F224" s="308"/>
      <c r="G224" s="18"/>
      <c r="H224" s="18"/>
      <c r="I224" s="18"/>
      <c r="J224" s="18"/>
    </row>
    <row r="225" spans="1:10">
      <c r="A225" s="306"/>
      <c r="C225" s="308"/>
      <c r="D225" s="308"/>
      <c r="E225" s="308"/>
      <c r="F225" s="308"/>
      <c r="G225" s="18"/>
      <c r="H225" s="18"/>
      <c r="I225" s="18"/>
      <c r="J225" s="18"/>
    </row>
    <row r="226" spans="1:10">
      <c r="A226" s="25"/>
    </row>
    <row r="227" spans="1:10">
      <c r="A227" s="25"/>
    </row>
    <row r="228" spans="1:10">
      <c r="A228" s="25"/>
    </row>
    <row r="229" spans="1:10">
      <c r="A229" s="25"/>
    </row>
    <row r="230" spans="1:10">
      <c r="A230" s="25"/>
    </row>
    <row r="231" spans="1:10">
      <c r="A231" s="25"/>
    </row>
    <row r="232" spans="1:10">
      <c r="A232" s="25"/>
    </row>
    <row r="233" spans="1:10">
      <c r="A233" s="25"/>
    </row>
    <row r="234" spans="1:10">
      <c r="A234" s="25"/>
    </row>
    <row r="235" spans="1:10">
      <c r="A235" s="25"/>
    </row>
    <row r="236" spans="1:10">
      <c r="A236" s="25"/>
    </row>
    <row r="237" spans="1:10">
      <c r="A237" s="25"/>
    </row>
    <row r="238" spans="1:10">
      <c r="A238" s="25"/>
    </row>
    <row r="239" spans="1:10">
      <c r="A239" s="25"/>
    </row>
    <row r="240" spans="1:10">
      <c r="A240" s="25"/>
    </row>
    <row r="241" spans="1:1">
      <c r="A241" s="25"/>
    </row>
    <row r="242" spans="1:1">
      <c r="A242" s="25"/>
    </row>
    <row r="243" spans="1:1">
      <c r="A243" s="25"/>
    </row>
    <row r="244" spans="1:1">
      <c r="A244" s="25"/>
    </row>
    <row r="245" spans="1:1">
      <c r="A245" s="25"/>
    </row>
    <row r="246" spans="1:1">
      <c r="A246" s="25"/>
    </row>
    <row r="247" spans="1:1">
      <c r="A247" s="25"/>
    </row>
    <row r="248" spans="1:1">
      <c r="A248" s="25"/>
    </row>
    <row r="249" spans="1:1">
      <c r="A249" s="25"/>
    </row>
    <row r="250" spans="1:1">
      <c r="A250" s="25"/>
    </row>
    <row r="251" spans="1:1">
      <c r="A251" s="25"/>
    </row>
    <row r="252" spans="1:1">
      <c r="A252" s="25"/>
    </row>
    <row r="253" spans="1:1">
      <c r="A253" s="25"/>
    </row>
    <row r="254" spans="1:1">
      <c r="A254" s="25"/>
    </row>
    <row r="255" spans="1:1">
      <c r="A255" s="25"/>
    </row>
    <row r="256" spans="1:1">
      <c r="A256" s="25"/>
    </row>
    <row r="257" spans="1:1">
      <c r="A257" s="25"/>
    </row>
    <row r="258" spans="1:1">
      <c r="A258" s="25"/>
    </row>
    <row r="259" spans="1:1">
      <c r="A259" s="25"/>
    </row>
    <row r="260" spans="1:1">
      <c r="A260" s="25"/>
    </row>
    <row r="261" spans="1:1">
      <c r="A261" s="25"/>
    </row>
    <row r="262" spans="1:1">
      <c r="A262" s="25"/>
    </row>
    <row r="263" spans="1:1">
      <c r="A263" s="25"/>
    </row>
    <row r="264" spans="1:1">
      <c r="A264" s="25"/>
    </row>
    <row r="265" spans="1:1">
      <c r="A265" s="25"/>
    </row>
    <row r="266" spans="1:1">
      <c r="A266" s="25"/>
    </row>
    <row r="267" spans="1:1">
      <c r="A267" s="25"/>
    </row>
    <row r="268" spans="1:1">
      <c r="A268" s="25"/>
    </row>
    <row r="269" spans="1:1">
      <c r="A269" s="25"/>
    </row>
    <row r="270" spans="1:1">
      <c r="A270" s="25"/>
    </row>
    <row r="271" spans="1:1">
      <c r="A271" s="25"/>
    </row>
    <row r="272" spans="1:1">
      <c r="A272" s="25"/>
    </row>
    <row r="273" spans="1:1">
      <c r="A273" s="25"/>
    </row>
    <row r="274" spans="1:1">
      <c r="A274" s="25"/>
    </row>
    <row r="275" spans="1:1">
      <c r="A275" s="25"/>
    </row>
    <row r="276" spans="1:1">
      <c r="A276" s="25"/>
    </row>
    <row r="277" spans="1:1">
      <c r="A277" s="25"/>
    </row>
    <row r="278" spans="1:1">
      <c r="A278" s="25"/>
    </row>
    <row r="279" spans="1:1">
      <c r="A279" s="25"/>
    </row>
    <row r="280" spans="1:1">
      <c r="A280" s="25"/>
    </row>
    <row r="281" spans="1:1">
      <c r="A281" s="25"/>
    </row>
    <row r="282" spans="1:1">
      <c r="A282" s="25"/>
    </row>
    <row r="283" spans="1:1">
      <c r="A283" s="25"/>
    </row>
    <row r="284" spans="1:1">
      <c r="A284" s="25"/>
    </row>
    <row r="285" spans="1:1">
      <c r="A285" s="25"/>
    </row>
    <row r="286" spans="1:1">
      <c r="A286" s="25"/>
    </row>
    <row r="287" spans="1:1">
      <c r="A287" s="25"/>
    </row>
    <row r="288" spans="1:1">
      <c r="A288" s="25"/>
    </row>
    <row r="289" spans="1:1">
      <c r="A289" s="25"/>
    </row>
    <row r="290" spans="1:1">
      <c r="A290" s="25"/>
    </row>
    <row r="291" spans="1:1">
      <c r="A291" s="25"/>
    </row>
    <row r="292" spans="1:1">
      <c r="A292" s="25"/>
    </row>
    <row r="293" spans="1:1">
      <c r="A293" s="25"/>
    </row>
    <row r="294" spans="1:1">
      <c r="A294" s="25"/>
    </row>
    <row r="295" spans="1:1">
      <c r="A295" s="25"/>
    </row>
    <row r="296" spans="1:1">
      <c r="A296" s="25"/>
    </row>
    <row r="297" spans="1:1">
      <c r="A297" s="25"/>
    </row>
    <row r="298" spans="1:1">
      <c r="A298" s="25"/>
    </row>
    <row r="299" spans="1:1">
      <c r="A299" s="25"/>
    </row>
    <row r="300" spans="1:1">
      <c r="A300" s="25"/>
    </row>
    <row r="301" spans="1:1">
      <c r="A301" s="25"/>
    </row>
    <row r="302" spans="1:1">
      <c r="A302" s="25"/>
    </row>
    <row r="303" spans="1:1">
      <c r="A303" s="25"/>
    </row>
    <row r="304" spans="1:1">
      <c r="A304" s="25"/>
    </row>
    <row r="305" spans="1:1">
      <c r="A305" s="25"/>
    </row>
    <row r="306" spans="1:1">
      <c r="A306" s="25"/>
    </row>
    <row r="307" spans="1:1">
      <c r="A307" s="25"/>
    </row>
    <row r="308" spans="1:1">
      <c r="A308" s="25"/>
    </row>
    <row r="309" spans="1:1">
      <c r="A309" s="25"/>
    </row>
    <row r="310" spans="1:1">
      <c r="A310" s="25"/>
    </row>
    <row r="311" spans="1:1">
      <c r="A311" s="25"/>
    </row>
    <row r="312" spans="1:1">
      <c r="A312" s="25"/>
    </row>
    <row r="313" spans="1:1">
      <c r="A313" s="25"/>
    </row>
    <row r="314" spans="1:1">
      <c r="A314" s="25"/>
    </row>
    <row r="315" spans="1:1">
      <c r="A315" s="25"/>
    </row>
    <row r="316" spans="1:1">
      <c r="A316" s="25"/>
    </row>
    <row r="317" spans="1:1">
      <c r="A317" s="25"/>
    </row>
    <row r="318" spans="1:1">
      <c r="A318" s="25"/>
    </row>
    <row r="319" spans="1:1">
      <c r="A319" s="25"/>
    </row>
    <row r="320" spans="1:1">
      <c r="A320" s="25"/>
    </row>
    <row r="321" spans="1:1">
      <c r="A321" s="25"/>
    </row>
    <row r="322" spans="1:1">
      <c r="A322" s="25"/>
    </row>
    <row r="323" spans="1:1">
      <c r="A323" s="25"/>
    </row>
    <row r="324" spans="1:1">
      <c r="A324" s="25"/>
    </row>
    <row r="325" spans="1:1">
      <c r="A325" s="25"/>
    </row>
    <row r="326" spans="1:1">
      <c r="A326" s="25"/>
    </row>
    <row r="327" spans="1:1">
      <c r="A327" s="25"/>
    </row>
    <row r="328" spans="1:1">
      <c r="A328" s="25"/>
    </row>
    <row r="329" spans="1:1">
      <c r="A329" s="25"/>
    </row>
    <row r="330" spans="1:1">
      <c r="A330" s="25"/>
    </row>
    <row r="331" spans="1:1">
      <c r="A331" s="25"/>
    </row>
    <row r="332" spans="1:1">
      <c r="A332" s="25"/>
    </row>
    <row r="333" spans="1:1">
      <c r="A333" s="25"/>
    </row>
    <row r="334" spans="1:1">
      <c r="A334" s="25"/>
    </row>
    <row r="335" spans="1:1">
      <c r="A335" s="25"/>
    </row>
    <row r="336" spans="1:1">
      <c r="A336" s="25"/>
    </row>
    <row r="337" spans="1:1">
      <c r="A337" s="25"/>
    </row>
    <row r="338" spans="1:1">
      <c r="A338" s="25"/>
    </row>
    <row r="339" spans="1:1">
      <c r="A339" s="25"/>
    </row>
    <row r="340" spans="1:1">
      <c r="A340" s="25"/>
    </row>
    <row r="341" spans="1:1">
      <c r="A341" s="25"/>
    </row>
    <row r="342" spans="1:1">
      <c r="A342" s="25"/>
    </row>
    <row r="343" spans="1:1">
      <c r="A343" s="25"/>
    </row>
    <row r="344" spans="1:1">
      <c r="A344" s="25"/>
    </row>
    <row r="345" spans="1:1">
      <c r="A345" s="25"/>
    </row>
    <row r="346" spans="1:1">
      <c r="A346" s="25"/>
    </row>
    <row r="347" spans="1:1">
      <c r="A347" s="25"/>
    </row>
    <row r="348" spans="1:1">
      <c r="A348" s="25"/>
    </row>
    <row r="349" spans="1:1">
      <c r="A349" s="25"/>
    </row>
    <row r="350" spans="1:1">
      <c r="A350" s="25"/>
    </row>
    <row r="351" spans="1:1">
      <c r="A351" s="25"/>
    </row>
    <row r="352" spans="1:1">
      <c r="A352" s="25"/>
    </row>
    <row r="353" spans="1:1">
      <c r="A353" s="25"/>
    </row>
    <row r="354" spans="1:1">
      <c r="A354" s="25"/>
    </row>
    <row r="355" spans="1:1">
      <c r="A355" s="25"/>
    </row>
    <row r="356" spans="1:1">
      <c r="A356" s="25"/>
    </row>
    <row r="357" spans="1:1">
      <c r="A357" s="25"/>
    </row>
    <row r="358" spans="1:1">
      <c r="A358" s="25"/>
    </row>
    <row r="359" spans="1:1">
      <c r="A359" s="25"/>
    </row>
    <row r="360" spans="1:1">
      <c r="A360" s="25"/>
    </row>
    <row r="361" spans="1:1">
      <c r="A361" s="25"/>
    </row>
    <row r="362" spans="1:1">
      <c r="A362" s="25"/>
    </row>
    <row r="363" spans="1:1">
      <c r="A363" s="25"/>
    </row>
    <row r="364" spans="1:1">
      <c r="A364" s="25"/>
    </row>
    <row r="365" spans="1:1">
      <c r="A365" s="25"/>
    </row>
    <row r="366" spans="1:1">
      <c r="A366" s="25"/>
    </row>
    <row r="367" spans="1:1">
      <c r="A367" s="25"/>
    </row>
    <row r="368" spans="1:1">
      <c r="A368" s="25"/>
    </row>
    <row r="369" spans="1:1">
      <c r="A369" s="25"/>
    </row>
    <row r="370" spans="1:1">
      <c r="A370" s="25"/>
    </row>
    <row r="371" spans="1:1">
      <c r="A371" s="25"/>
    </row>
    <row r="372" spans="1:1">
      <c r="A372" s="25"/>
    </row>
    <row r="373" spans="1:1">
      <c r="A373" s="25"/>
    </row>
    <row r="374" spans="1:1">
      <c r="A374" s="25"/>
    </row>
    <row r="375" spans="1:1">
      <c r="A375" s="25"/>
    </row>
    <row r="376" spans="1:1">
      <c r="A376" s="25"/>
    </row>
    <row r="377" spans="1:1">
      <c r="A377" s="25"/>
    </row>
    <row r="378" spans="1:1">
      <c r="A378" s="25"/>
    </row>
    <row r="379" spans="1:1">
      <c r="A379" s="25"/>
    </row>
    <row r="380" spans="1:1">
      <c r="A380" s="25"/>
    </row>
    <row r="381" spans="1:1">
      <c r="A381" s="25"/>
    </row>
    <row r="382" spans="1:1">
      <c r="A382" s="25"/>
    </row>
    <row r="383" spans="1:1">
      <c r="A383" s="25"/>
    </row>
    <row r="384" spans="1:1">
      <c r="A384" s="25"/>
    </row>
    <row r="385" spans="1:1">
      <c r="A385" s="25"/>
    </row>
    <row r="386" spans="1:1">
      <c r="A386" s="25"/>
    </row>
    <row r="387" spans="1:1">
      <c r="A387" s="25"/>
    </row>
    <row r="388" spans="1:1">
      <c r="A388" s="25"/>
    </row>
    <row r="389" spans="1:1">
      <c r="A389" s="25"/>
    </row>
    <row r="390" spans="1:1">
      <c r="A390" s="25"/>
    </row>
    <row r="391" spans="1:1">
      <c r="A391" s="25"/>
    </row>
    <row r="392" spans="1:1">
      <c r="A392" s="25"/>
    </row>
  </sheetData>
  <mergeCells count="13">
    <mergeCell ref="A2:J2"/>
    <mergeCell ref="C167:F167"/>
    <mergeCell ref="H167:J167"/>
    <mergeCell ref="B4:B5"/>
    <mergeCell ref="A4:A5"/>
    <mergeCell ref="E4:E5"/>
    <mergeCell ref="C4:C5"/>
    <mergeCell ref="G4:J4"/>
    <mergeCell ref="C166:F166"/>
    <mergeCell ref="H166:J166"/>
    <mergeCell ref="F4:F5"/>
    <mergeCell ref="D4:D5"/>
    <mergeCell ref="A154:J154"/>
  </mergeCells>
  <phoneticPr fontId="0" type="noConversion"/>
  <printOptions horizontalCentered="1"/>
  <pageMargins left="0.11811023622047245" right="0.19685039370078741" top="0.78740157480314965" bottom="0.19685039370078741" header="0.19685039370078741" footer="0.11811023622047245"/>
  <pageSetup paperSize="9" scale="55" fitToWidth="5" fitToHeight="5" orientation="landscape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  <rowBreaks count="2" manualBreakCount="2">
    <brk id="89" max="9" man="1"/>
    <brk id="13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94"/>
  <sheetViews>
    <sheetView zoomScale="85" zoomScaleNormal="85" zoomScaleSheetLayoutView="75" workbookViewId="0">
      <selection sqref="A1:XFD1048576"/>
    </sheetView>
  </sheetViews>
  <sheetFormatPr defaultColWidth="77.85546875" defaultRowHeight="18.75" outlineLevelRow="1"/>
  <cols>
    <col min="1" max="1" width="84" style="21" customWidth="1"/>
    <col min="2" max="2" width="10.7109375" style="24" customWidth="1"/>
    <col min="3" max="5" width="15.85546875" style="24" customWidth="1"/>
    <col min="6" max="6" width="15.85546875" style="21" customWidth="1"/>
    <col min="7" max="10" width="13.85546875" style="21" customWidth="1"/>
    <col min="11" max="249" width="9.140625" style="21" customWidth="1"/>
    <col min="250" max="16384" width="77.85546875" style="21"/>
  </cols>
  <sheetData>
    <row r="2" spans="1:10">
      <c r="A2" s="430" t="s">
        <v>66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outlineLevel="1">
      <c r="A3" s="20"/>
      <c r="B3" s="27"/>
      <c r="C3" s="20"/>
      <c r="D3" s="20"/>
      <c r="E3" s="20"/>
      <c r="F3" s="20"/>
      <c r="G3" s="20"/>
      <c r="H3" s="20"/>
      <c r="I3" s="20"/>
      <c r="J3" s="20"/>
    </row>
    <row r="4" spans="1:10" ht="38.25" customHeight="1">
      <c r="A4" s="431" t="s">
        <v>91</v>
      </c>
      <c r="B4" s="432" t="s">
        <v>7</v>
      </c>
      <c r="C4" s="420" t="s">
        <v>365</v>
      </c>
      <c r="D4" s="420" t="s">
        <v>366</v>
      </c>
      <c r="E4" s="420" t="s">
        <v>367</v>
      </c>
      <c r="F4" s="420" t="s">
        <v>567</v>
      </c>
      <c r="G4" s="433" t="s">
        <v>109</v>
      </c>
      <c r="H4" s="433"/>
      <c r="I4" s="433"/>
      <c r="J4" s="433"/>
    </row>
    <row r="5" spans="1:10" ht="50.25" customHeight="1">
      <c r="A5" s="431"/>
      <c r="B5" s="432"/>
      <c r="C5" s="421"/>
      <c r="D5" s="421"/>
      <c r="E5" s="421"/>
      <c r="F5" s="421"/>
      <c r="G5" s="305" t="s">
        <v>72</v>
      </c>
      <c r="H5" s="305" t="s">
        <v>73</v>
      </c>
      <c r="I5" s="305" t="s">
        <v>74</v>
      </c>
      <c r="J5" s="305" t="s">
        <v>39</v>
      </c>
    </row>
    <row r="6" spans="1:10" ht="18" customHeight="1">
      <c r="A6" s="26">
        <v>1</v>
      </c>
      <c r="B6" s="303">
        <v>2</v>
      </c>
      <c r="C6" s="303">
        <v>3</v>
      </c>
      <c r="D6" s="303">
        <v>4</v>
      </c>
      <c r="E6" s="303">
        <v>5</v>
      </c>
      <c r="F6" s="303">
        <v>6</v>
      </c>
      <c r="G6" s="303">
        <v>7</v>
      </c>
      <c r="H6" s="303">
        <v>8</v>
      </c>
      <c r="I6" s="303">
        <v>9</v>
      </c>
      <c r="J6" s="303">
        <v>10</v>
      </c>
    </row>
    <row r="7" spans="1:10" s="63" customFormat="1" ht="24.95" customHeight="1">
      <c r="A7" s="434" t="s">
        <v>64</v>
      </c>
      <c r="B7" s="434"/>
      <c r="C7" s="434"/>
      <c r="D7" s="434"/>
      <c r="E7" s="434"/>
      <c r="F7" s="434"/>
      <c r="G7" s="434"/>
      <c r="H7" s="434"/>
      <c r="I7" s="434"/>
      <c r="J7" s="434"/>
    </row>
    <row r="8" spans="1:10" ht="24.95" customHeight="1">
      <c r="A8" s="29" t="s">
        <v>164</v>
      </c>
      <c r="B8" s="36">
        <v>1200</v>
      </c>
      <c r="C8" s="184">
        <f>I.Розшифрування!C150</f>
        <v>33282.03632786886</v>
      </c>
      <c r="D8" s="184">
        <f>I.Розшифрування!D150</f>
        <v>25730.615995189502</v>
      </c>
      <c r="E8" s="184">
        <f>I.Розшифрування!E150</f>
        <v>30267.774535267468</v>
      </c>
      <c r="F8" s="188">
        <f>SUM(G8:J8)</f>
        <v>151726.7276569056</v>
      </c>
      <c r="G8" s="206">
        <f>[37]Розшиф!L179</f>
        <v>29528.966666666674</v>
      </c>
      <c r="H8" s="206">
        <f>[37]Розшиф!M179</f>
        <v>31477.058691312279</v>
      </c>
      <c r="I8" s="206">
        <f>[37]Розшиф!N179</f>
        <v>22105.407917723234</v>
      </c>
      <c r="J8" s="206">
        <f>[37]Розшиф!O179</f>
        <v>68615.294381203392</v>
      </c>
    </row>
    <row r="9" spans="1:10" ht="42.75" customHeight="1">
      <c r="A9" s="29" t="s">
        <v>28</v>
      </c>
      <c r="B9" s="40">
        <v>2000</v>
      </c>
      <c r="C9" s="47">
        <f>'[39]2. Розр з бюдж'!$D$10</f>
        <v>42767</v>
      </c>
      <c r="D9" s="188">
        <f>'[38]2. Розр з бюдж'!$F$10</f>
        <v>25189.751350283856</v>
      </c>
      <c r="E9" s="188">
        <f>C17</f>
        <v>33282.03632786886</v>
      </c>
      <c r="F9" s="188">
        <f>[37]Розшиф!E179</f>
        <v>30267.774535267366</v>
      </c>
      <c r="G9" s="206">
        <f>[37]Розшиф!E179</f>
        <v>30267.774535267366</v>
      </c>
      <c r="H9" s="206">
        <f>G8</f>
        <v>29528.966666666674</v>
      </c>
      <c r="I9" s="206">
        <f t="shared" ref="I9" si="0">H8</f>
        <v>31477.058691312279</v>
      </c>
      <c r="J9" s="206">
        <f>I8</f>
        <v>22105.407917723234</v>
      </c>
    </row>
    <row r="10" spans="1:10" ht="20.100000000000001" customHeight="1">
      <c r="A10" s="22" t="s">
        <v>108</v>
      </c>
      <c r="B10" s="304">
        <v>2010</v>
      </c>
      <c r="C10" s="50"/>
      <c r="D10" s="190"/>
      <c r="E10" s="190"/>
      <c r="F10" s="190">
        <f t="shared" ref="F10:F17" si="1">SUM(G10:J10)</f>
        <v>0</v>
      </c>
      <c r="G10" s="207"/>
      <c r="H10" s="207"/>
      <c r="I10" s="207"/>
      <c r="J10" s="207"/>
    </row>
    <row r="11" spans="1:10" ht="20.100000000000001" customHeight="1">
      <c r="A11" s="8" t="s">
        <v>75</v>
      </c>
      <c r="B11" s="304">
        <v>2020</v>
      </c>
      <c r="C11" s="50"/>
      <c r="D11" s="190"/>
      <c r="E11" s="190"/>
      <c r="F11" s="190">
        <f t="shared" si="1"/>
        <v>0</v>
      </c>
      <c r="G11" s="207"/>
      <c r="H11" s="207"/>
      <c r="I11" s="207"/>
      <c r="J11" s="207"/>
    </row>
    <row r="12" spans="1:10" s="23" customFormat="1" ht="20.100000000000001" customHeight="1">
      <c r="A12" s="22" t="s">
        <v>37</v>
      </c>
      <c r="B12" s="304">
        <v>2030</v>
      </c>
      <c r="C12" s="50"/>
      <c r="D12" s="190"/>
      <c r="E12" s="190"/>
      <c r="F12" s="190">
        <f t="shared" si="1"/>
        <v>0</v>
      </c>
      <c r="G12" s="208"/>
      <c r="H12" s="208"/>
      <c r="I12" s="208"/>
      <c r="J12" s="208"/>
    </row>
    <row r="13" spans="1:10" ht="20.100000000000001" customHeight="1">
      <c r="A13" s="22" t="s">
        <v>60</v>
      </c>
      <c r="B13" s="304">
        <v>2031</v>
      </c>
      <c r="C13" s="50"/>
      <c r="D13" s="190"/>
      <c r="E13" s="190"/>
      <c r="F13" s="190">
        <f t="shared" si="1"/>
        <v>0</v>
      </c>
      <c r="G13" s="208"/>
      <c r="H13" s="208"/>
      <c r="I13" s="208"/>
      <c r="J13" s="208"/>
    </row>
    <row r="14" spans="1:10" ht="20.100000000000001" customHeight="1">
      <c r="A14" s="22" t="s">
        <v>11</v>
      </c>
      <c r="B14" s="304">
        <v>2040</v>
      </c>
      <c r="C14" s="51"/>
      <c r="D14" s="205"/>
      <c r="E14" s="205"/>
      <c r="F14" s="190">
        <f t="shared" si="1"/>
        <v>0</v>
      </c>
      <c r="G14" s="208"/>
      <c r="H14" s="208"/>
      <c r="I14" s="208"/>
      <c r="J14" s="208"/>
    </row>
    <row r="15" spans="1:10" ht="20.100000000000001" customHeight="1">
      <c r="A15" s="22" t="s">
        <v>56</v>
      </c>
      <c r="B15" s="304">
        <v>2050</v>
      </c>
      <c r="C15" s="50"/>
      <c r="D15" s="190"/>
      <c r="E15" s="190"/>
      <c r="F15" s="190">
        <f t="shared" si="1"/>
        <v>0</v>
      </c>
      <c r="G15" s="208"/>
      <c r="H15" s="208"/>
      <c r="I15" s="208"/>
      <c r="J15" s="208"/>
    </row>
    <row r="16" spans="1:10" ht="20.100000000000001" customHeight="1">
      <c r="A16" s="22" t="s">
        <v>57</v>
      </c>
      <c r="B16" s="304">
        <v>2060</v>
      </c>
      <c r="C16" s="50"/>
      <c r="D16" s="190"/>
      <c r="E16" s="190"/>
      <c r="F16" s="190">
        <f t="shared" si="1"/>
        <v>0</v>
      </c>
      <c r="G16" s="208"/>
      <c r="H16" s="208"/>
      <c r="I16" s="208"/>
      <c r="J16" s="208"/>
    </row>
    <row r="17" spans="1:10" ht="42.75" customHeight="1">
      <c r="A17" s="29" t="s">
        <v>29</v>
      </c>
      <c r="B17" s="40">
        <v>2070</v>
      </c>
      <c r="C17" s="50">
        <f>C8</f>
        <v>33282.03632786886</v>
      </c>
      <c r="D17" s="190">
        <f>D8</f>
        <v>25730.615995189502</v>
      </c>
      <c r="E17" s="190">
        <f>E8</f>
        <v>30267.774535267468</v>
      </c>
      <c r="F17" s="190">
        <f t="shared" si="1"/>
        <v>151726.7276569056</v>
      </c>
      <c r="G17" s="208">
        <f>G8</f>
        <v>29528.966666666674</v>
      </c>
      <c r="H17" s="208">
        <f t="shared" ref="H17:J17" si="2">H8</f>
        <v>31477.058691312279</v>
      </c>
      <c r="I17" s="208">
        <f t="shared" si="2"/>
        <v>22105.407917723234</v>
      </c>
      <c r="J17" s="208">
        <f t="shared" si="2"/>
        <v>68615.294381203392</v>
      </c>
    </row>
    <row r="18" spans="1:10" ht="25.5" customHeight="1">
      <c r="A18" s="434" t="s">
        <v>165</v>
      </c>
      <c r="B18" s="434"/>
      <c r="C18" s="434"/>
      <c r="D18" s="434"/>
      <c r="E18" s="434"/>
      <c r="F18" s="434"/>
      <c r="G18" s="434"/>
      <c r="H18" s="434"/>
      <c r="I18" s="434"/>
      <c r="J18" s="434"/>
    </row>
    <row r="19" spans="1:10" ht="42" customHeight="1">
      <c r="A19" s="310" t="s">
        <v>166</v>
      </c>
      <c r="B19" s="57">
        <v>2110</v>
      </c>
      <c r="C19" s="188">
        <f>C20+C21+C22+C23+C24+C25</f>
        <v>50077.7</v>
      </c>
      <c r="D19" s="188">
        <f>D20+D21+D22+D23+D24+D25</f>
        <v>42751.529454290721</v>
      </c>
      <c r="E19" s="188">
        <f t="shared" ref="E19:J19" si="3">E20+E21+E22+E23+E24+E25</f>
        <v>48379.666983320873</v>
      </c>
      <c r="F19" s="188">
        <f t="shared" si="3"/>
        <v>92383.415971103153</v>
      </c>
      <c r="G19" s="188">
        <f t="shared" si="3"/>
        <v>38789.457406785215</v>
      </c>
      <c r="H19" s="188">
        <f t="shared" si="3"/>
        <v>14489.689439653808</v>
      </c>
      <c r="I19" s="188">
        <f t="shared" si="3"/>
        <v>11262.907076357013</v>
      </c>
      <c r="J19" s="188">
        <f t="shared" si="3"/>
        <v>27841.362048307114</v>
      </c>
    </row>
    <row r="20" spans="1:10" s="23" customFormat="1" ht="20.100000000000001" customHeight="1">
      <c r="A20" s="58" t="s">
        <v>167</v>
      </c>
      <c r="B20" s="183">
        <v>2111</v>
      </c>
      <c r="C20" s="189">
        <v>0</v>
      </c>
      <c r="D20" s="189">
        <v>8437</v>
      </c>
      <c r="E20" s="189">
        <f>[37]Розшиф!E178</f>
        <v>6644.1456296928363</v>
      </c>
      <c r="F20" s="190">
        <f>SUM(G20:J20)</f>
        <v>46625.699462820296</v>
      </c>
      <c r="G20" s="189">
        <f>[37]Розшиф!L178</f>
        <v>19801.800708865419</v>
      </c>
      <c r="H20" s="189">
        <f>[37]Розшиф!M178</f>
        <v>6909.5982493124511</v>
      </c>
      <c r="I20" s="189">
        <f>[37]Розшиф!N178</f>
        <v>4852.4066160855873</v>
      </c>
      <c r="J20" s="189">
        <f>[37]Розшиф!O178</f>
        <v>15061.89388855684</v>
      </c>
    </row>
    <row r="21" spans="1:10" s="23" customFormat="1" ht="31.5" customHeight="1">
      <c r="A21" s="58" t="s">
        <v>168</v>
      </c>
      <c r="B21" s="183">
        <v>2112</v>
      </c>
      <c r="C21" s="189">
        <v>34666</v>
      </c>
      <c r="D21" s="189">
        <f>'[38]2. Розр з бюдж'!$F$22</f>
        <v>17204.429454290723</v>
      </c>
      <c r="E21" s="189">
        <f>'III. Рух грошових коштів'!E93</f>
        <v>23250.045416161396</v>
      </c>
      <c r="F21" s="190">
        <f>SUM(G21:J21)</f>
        <v>21746.450879482854</v>
      </c>
      <c r="G21" s="189">
        <f>'III. Рух грошових коштів'!G94</f>
        <v>13092.942014148846</v>
      </c>
      <c r="H21" s="189">
        <f>'III. Рух грошових коштів'!H93</f>
        <v>1649.3765065704054</v>
      </c>
      <c r="I21" s="189">
        <f>'III. Рух грошових коштів'!I93</f>
        <v>443.62398973459199</v>
      </c>
      <c r="J21" s="189">
        <f>'III. Рух грошових коштів'!J93</f>
        <v>6560.5083690290121</v>
      </c>
    </row>
    <row r="22" spans="1:10" s="23" customFormat="1" ht="37.5" customHeight="1">
      <c r="A22" s="58" t="s">
        <v>169</v>
      </c>
      <c r="B22" s="183">
        <v>2113</v>
      </c>
      <c r="C22" s="189">
        <v>0</v>
      </c>
      <c r="D22" s="189"/>
      <c r="E22" s="189"/>
      <c r="F22" s="190">
        <f t="shared" ref="F22:F23" si="4">SUM(G22:J22)</f>
        <v>0</v>
      </c>
      <c r="G22" s="189"/>
      <c r="H22" s="189"/>
      <c r="I22" s="189"/>
      <c r="J22" s="189"/>
    </row>
    <row r="23" spans="1:10" ht="19.5" customHeight="1">
      <c r="A23" s="58" t="s">
        <v>170</v>
      </c>
      <c r="B23" s="183">
        <v>2114</v>
      </c>
      <c r="C23" s="189"/>
      <c r="D23" s="189"/>
      <c r="E23" s="189"/>
      <c r="F23" s="190">
        <f t="shared" si="4"/>
        <v>0</v>
      </c>
      <c r="G23" s="189"/>
      <c r="H23" s="189"/>
      <c r="I23" s="189"/>
      <c r="J23" s="189"/>
    </row>
    <row r="24" spans="1:10" ht="18.75" customHeight="1">
      <c r="A24" s="58" t="s">
        <v>45</v>
      </c>
      <c r="B24" s="183">
        <v>2115</v>
      </c>
      <c r="C24" s="189">
        <v>15411.7</v>
      </c>
      <c r="D24" s="189">
        <v>17110.099999999999</v>
      </c>
      <c r="E24" s="189">
        <f>[37]Розшиф!E170</f>
        <v>18485.475937466636</v>
      </c>
      <c r="F24" s="190">
        <f>SUM(G24:J24)</f>
        <v>24011.265628799996</v>
      </c>
      <c r="G24" s="189">
        <f>[37]Розшиф!L170</f>
        <v>5894.7146837709524</v>
      </c>
      <c r="H24" s="189">
        <f>[37]Розшиф!M170</f>
        <v>5930.7146837709524</v>
      </c>
      <c r="I24" s="189">
        <f>[37]Розшиф!N170</f>
        <v>5966.876470536833</v>
      </c>
      <c r="J24" s="189">
        <f>[37]Розшиф!O170</f>
        <v>6218.9597907212601</v>
      </c>
    </row>
    <row r="25" spans="1:10" s="301" customFormat="1" ht="22.5" customHeight="1">
      <c r="A25" s="64" t="s">
        <v>171</v>
      </c>
      <c r="B25" s="183">
        <v>2116</v>
      </c>
      <c r="C25" s="191"/>
      <c r="D25" s="191"/>
      <c r="E25" s="191"/>
      <c r="F25" s="190">
        <f t="shared" ref="F25:F39" si="5">SUM(G25:J25)</f>
        <v>0</v>
      </c>
      <c r="G25" s="191"/>
      <c r="H25" s="191"/>
      <c r="I25" s="191"/>
      <c r="J25" s="191"/>
    </row>
    <row r="26" spans="1:10" ht="36.75" customHeight="1">
      <c r="A26" s="310" t="s">
        <v>172</v>
      </c>
      <c r="B26" s="57">
        <v>2120</v>
      </c>
      <c r="C26" s="188">
        <f>C27+C28+C29+C30</f>
        <v>2966.2</v>
      </c>
      <c r="D26" s="188">
        <f t="shared" ref="D26:J26" si="6">D27+D28+D29+D30</f>
        <v>3372.7857220000001</v>
      </c>
      <c r="E26" s="188">
        <f t="shared" si="6"/>
        <v>3410.1258700076924</v>
      </c>
      <c r="F26" s="188">
        <f>SUM(G26:J26)</f>
        <v>4091.6587225599997</v>
      </c>
      <c r="G26" s="188">
        <f>G27+G28+G29+G30</f>
        <v>1368.2726998586072</v>
      </c>
      <c r="H26" s="188">
        <f t="shared" si="6"/>
        <v>808.62091627065342</v>
      </c>
      <c r="I26" s="188">
        <f t="shared" si="6"/>
        <v>727.96427098488425</v>
      </c>
      <c r="J26" s="188">
        <f t="shared" si="6"/>
        <v>1186.8008354458552</v>
      </c>
    </row>
    <row r="27" spans="1:10" s="23" customFormat="1" ht="20.100000000000001" customHeight="1">
      <c r="A27" s="58" t="s">
        <v>45</v>
      </c>
      <c r="B27" s="183">
        <v>2121</v>
      </c>
      <c r="C27" s="189"/>
      <c r="D27" s="189"/>
      <c r="E27" s="189"/>
      <c r="F27" s="190">
        <f t="shared" si="5"/>
        <v>0</v>
      </c>
      <c r="G27" s="189"/>
      <c r="H27" s="189"/>
      <c r="I27" s="189"/>
      <c r="J27" s="189"/>
    </row>
    <row r="28" spans="1:10" s="170" customFormat="1" ht="20.100000000000001" customHeight="1">
      <c r="A28" s="89" t="s">
        <v>173</v>
      </c>
      <c r="B28" s="311">
        <v>2122</v>
      </c>
      <c r="C28" s="193">
        <f>'[39]2. Розр з бюдж'!D33</f>
        <v>510.50000000000006</v>
      </c>
      <c r="D28" s="192">
        <f>'[38]2. Розр з бюдж'!$F$33</f>
        <v>545.72805000000005</v>
      </c>
      <c r="E28" s="192">
        <f>[37]Розшиф!E173</f>
        <v>543.63300000000004</v>
      </c>
      <c r="F28" s="190">
        <f t="shared" si="5"/>
        <v>543.64400000000001</v>
      </c>
      <c r="G28" s="192">
        <f>[37]Розшиф!L173</f>
        <v>135.911</v>
      </c>
      <c r="H28" s="192">
        <f>[37]Розшиф!M173</f>
        <v>135.911</v>
      </c>
      <c r="I28" s="192">
        <f>[37]Розшиф!N173</f>
        <v>135.911</v>
      </c>
      <c r="J28" s="192">
        <f>[37]Розшиф!O173</f>
        <v>135.911</v>
      </c>
    </row>
    <row r="29" spans="1:10" s="171" customFormat="1" ht="23.25" customHeight="1">
      <c r="A29" s="89" t="s">
        <v>174</v>
      </c>
      <c r="B29" s="311">
        <v>2123</v>
      </c>
      <c r="C29" s="194"/>
      <c r="D29" s="192"/>
      <c r="E29" s="192"/>
      <c r="F29" s="190">
        <f t="shared" si="5"/>
        <v>0</v>
      </c>
      <c r="G29" s="192"/>
      <c r="H29" s="192"/>
      <c r="I29" s="192"/>
      <c r="J29" s="192"/>
    </row>
    <row r="30" spans="1:10" s="171" customFormat="1" ht="21.75" customHeight="1">
      <c r="A30" s="172" t="s">
        <v>171</v>
      </c>
      <c r="B30" s="173">
        <v>2124</v>
      </c>
      <c r="C30" s="186">
        <f>C32+C33+C31</f>
        <v>2455.6999999999998</v>
      </c>
      <c r="D30" s="186">
        <f>D32+D33+D31</f>
        <v>2827.0576719999999</v>
      </c>
      <c r="E30" s="186">
        <f>E32+E33+E31</f>
        <v>2866.4928700076925</v>
      </c>
      <c r="F30" s="190">
        <f>SUM(G30:J30)</f>
        <v>3548.0147225599999</v>
      </c>
      <c r="G30" s="186">
        <f>G32+G33+G31</f>
        <v>1232.3616998586072</v>
      </c>
      <c r="H30" s="186">
        <f t="shared" ref="H30:J30" si="7">H32+H33+H31</f>
        <v>672.70991627065337</v>
      </c>
      <c r="I30" s="186">
        <f t="shared" si="7"/>
        <v>592.05327098488419</v>
      </c>
      <c r="J30" s="186">
        <f t="shared" si="7"/>
        <v>1050.8898354458552</v>
      </c>
    </row>
    <row r="31" spans="1:10" s="199" customFormat="1" ht="21.75" customHeight="1">
      <c r="A31" s="195" t="s">
        <v>497</v>
      </c>
      <c r="B31" s="196"/>
      <c r="C31" s="198">
        <v>1293</v>
      </c>
      <c r="D31" s="198">
        <f>[37]Розшиф!D171</f>
        <v>1564.3546719999997</v>
      </c>
      <c r="E31" s="198">
        <f>[37]Розшиф!E171</f>
        <v>1643.1534166637009</v>
      </c>
      <c r="F31" s="204">
        <f>SUM(G31:J31)</f>
        <v>2134.3347225599996</v>
      </c>
      <c r="G31" s="198">
        <f>[37]Розшиф!L171</f>
        <v>523.97463855741807</v>
      </c>
      <c r="H31" s="198">
        <f>[37]Розшиф!M171</f>
        <v>527.17463855741801</v>
      </c>
      <c r="I31" s="198">
        <f>[37]Розшиф!N171</f>
        <v>530.38901960327405</v>
      </c>
      <c r="J31" s="198">
        <f>[37]Розшиф!O171</f>
        <v>552.7964258418898</v>
      </c>
    </row>
    <row r="32" spans="1:10" s="199" customFormat="1" ht="21.75" customHeight="1">
      <c r="A32" s="195" t="s">
        <v>325</v>
      </c>
      <c r="B32" s="196"/>
      <c r="C32" s="197">
        <f>'[39]2. Розр з бюдж'!D34</f>
        <v>1151.7</v>
      </c>
      <c r="D32" s="198">
        <f>'[38]2. Розр з бюдж'!$F$34</f>
        <v>1260.1030000000003</v>
      </c>
      <c r="E32" s="198">
        <f>[37]Розшиф!E174</f>
        <v>1213.7254533439914</v>
      </c>
      <c r="F32" s="190">
        <f t="shared" si="5"/>
        <v>1392.3799999999999</v>
      </c>
      <c r="G32" s="198">
        <f>[37]Розшиф!L174</f>
        <v>700.68706130118903</v>
      </c>
      <c r="H32" s="198">
        <f>[37]Розшиф!M174</f>
        <v>142.23527771323538</v>
      </c>
      <c r="I32" s="198">
        <f>[37]Розшиф!N174</f>
        <v>58.364251381610117</v>
      </c>
      <c r="J32" s="198">
        <f>[37]Розшиф!O174</f>
        <v>491.09340960396543</v>
      </c>
    </row>
    <row r="33" spans="1:10" s="199" customFormat="1" ht="21.75" customHeight="1">
      <c r="A33" s="195" t="s">
        <v>489</v>
      </c>
      <c r="B33" s="196"/>
      <c r="C33" s="197">
        <f>'[39]2. Розр з бюдж'!D35</f>
        <v>11</v>
      </c>
      <c r="D33" s="198">
        <v>2.6</v>
      </c>
      <c r="E33" s="198">
        <f>[37]Розшиф!E175</f>
        <v>9.6140000000000008</v>
      </c>
      <c r="F33" s="190">
        <f t="shared" si="5"/>
        <v>21.3</v>
      </c>
      <c r="G33" s="198">
        <f>[37]Розшиф!L175</f>
        <v>7.7</v>
      </c>
      <c r="H33" s="198">
        <f>[37]Розшиф!M175</f>
        <v>3.3</v>
      </c>
      <c r="I33" s="198">
        <f>[37]Розшиф!N175</f>
        <v>3.3</v>
      </c>
      <c r="J33" s="198">
        <f>[37]Розшиф!O175</f>
        <v>7</v>
      </c>
    </row>
    <row r="34" spans="1:10" s="171" customFormat="1" ht="33.75" customHeight="1">
      <c r="A34" s="174" t="s">
        <v>177</v>
      </c>
      <c r="B34" s="175">
        <v>2130</v>
      </c>
      <c r="C34" s="187">
        <f>C35+C36</f>
        <v>17457</v>
      </c>
      <c r="D34" s="187">
        <f t="shared" ref="D34:J34" si="8">D35+D36</f>
        <v>21509.876740000003</v>
      </c>
      <c r="E34" s="187">
        <f t="shared" si="8"/>
        <v>23399.902282675066</v>
      </c>
      <c r="F34" s="188">
        <f t="shared" si="5"/>
        <v>29145.083035199998</v>
      </c>
      <c r="G34" s="187">
        <f t="shared" si="8"/>
        <v>7156.1464301644974</v>
      </c>
      <c r="H34" s="187">
        <f t="shared" si="8"/>
        <v>7198.1464301644974</v>
      </c>
      <c r="I34" s="187">
        <f t="shared" si="8"/>
        <v>7242.3441695450174</v>
      </c>
      <c r="J34" s="187">
        <f t="shared" si="8"/>
        <v>7548.4460053259854</v>
      </c>
    </row>
    <row r="35" spans="1:10" s="171" customFormat="1" ht="21.75" customHeight="1">
      <c r="A35" s="89" t="s">
        <v>175</v>
      </c>
      <c r="B35" s="311">
        <v>2131</v>
      </c>
      <c r="C35" s="200">
        <v>17457</v>
      </c>
      <c r="D35" s="200">
        <f>'[38]2. Розр з бюдж'!$F$38</f>
        <v>21509.876740000003</v>
      </c>
      <c r="E35" s="200">
        <f>[37]Розшиф!E196</f>
        <v>23399.902282675066</v>
      </c>
      <c r="F35" s="190">
        <f t="shared" si="5"/>
        <v>29145.083035199998</v>
      </c>
      <c r="G35" s="200">
        <f>[37]Розшиф!L196</f>
        <v>7156.1464301644974</v>
      </c>
      <c r="H35" s="200">
        <f>[37]Розшиф!M196</f>
        <v>7198.1464301644974</v>
      </c>
      <c r="I35" s="200">
        <f>[37]Розшиф!N196</f>
        <v>7242.3441695450174</v>
      </c>
      <c r="J35" s="200">
        <f>[37]Розшиф!O196</f>
        <v>7548.4460053259854</v>
      </c>
    </row>
    <row r="36" spans="1:10" s="171" customFormat="1" ht="20.100000000000001" customHeight="1">
      <c r="A36" s="172" t="s">
        <v>176</v>
      </c>
      <c r="B36" s="313">
        <v>2132</v>
      </c>
      <c r="C36" s="201"/>
      <c r="D36" s="201"/>
      <c r="E36" s="201"/>
      <c r="F36" s="190">
        <f t="shared" si="5"/>
        <v>0</v>
      </c>
      <c r="G36" s="201"/>
      <c r="H36" s="201"/>
      <c r="I36" s="201"/>
      <c r="J36" s="201"/>
    </row>
    <row r="37" spans="1:10" s="171" customFormat="1" ht="20.100000000000001" customHeight="1">
      <c r="A37" s="174" t="s">
        <v>178</v>
      </c>
      <c r="B37" s="175">
        <v>2140</v>
      </c>
      <c r="C37" s="202">
        <f>C38+C39</f>
        <v>7773.27</v>
      </c>
      <c r="D37" s="202">
        <f t="shared" ref="D37:J37" si="9">D38+D39</f>
        <v>0</v>
      </c>
      <c r="E37" s="202">
        <f t="shared" si="9"/>
        <v>0</v>
      </c>
      <c r="F37" s="188">
        <f t="shared" si="5"/>
        <v>0</v>
      </c>
      <c r="G37" s="202">
        <f t="shared" si="9"/>
        <v>0</v>
      </c>
      <c r="H37" s="202">
        <f t="shared" si="9"/>
        <v>0</v>
      </c>
      <c r="I37" s="202">
        <f t="shared" si="9"/>
        <v>0</v>
      </c>
      <c r="J37" s="202">
        <f t="shared" si="9"/>
        <v>0</v>
      </c>
    </row>
    <row r="38" spans="1:10" s="171" customFormat="1" ht="35.25" customHeight="1">
      <c r="A38" s="89" t="s">
        <v>179</v>
      </c>
      <c r="B38" s="311">
        <v>2141</v>
      </c>
      <c r="C38" s="200"/>
      <c r="D38" s="200"/>
      <c r="E38" s="200"/>
      <c r="F38" s="190">
        <f t="shared" si="5"/>
        <v>0</v>
      </c>
      <c r="G38" s="200"/>
      <c r="H38" s="200"/>
      <c r="I38" s="200"/>
      <c r="J38" s="200"/>
    </row>
    <row r="39" spans="1:10" s="171" customFormat="1" ht="20.100000000000001" customHeight="1">
      <c r="A39" s="89" t="s">
        <v>180</v>
      </c>
      <c r="B39" s="311">
        <v>2142</v>
      </c>
      <c r="C39" s="200">
        <f>'[39]2. Розр з бюдж'!$D$31</f>
        <v>7773.27</v>
      </c>
      <c r="D39" s="200"/>
      <c r="E39" s="200"/>
      <c r="F39" s="190">
        <f t="shared" si="5"/>
        <v>0</v>
      </c>
      <c r="G39" s="200"/>
      <c r="H39" s="200"/>
      <c r="I39" s="200"/>
      <c r="J39" s="200"/>
    </row>
    <row r="40" spans="1:10" s="171" customFormat="1" ht="28.5" customHeight="1">
      <c r="A40" s="53" t="s">
        <v>92</v>
      </c>
      <c r="B40" s="61">
        <v>2200</v>
      </c>
      <c r="C40" s="203">
        <f t="shared" ref="C40:J40" si="10">C19+C26+C34+C37</f>
        <v>78274.17</v>
      </c>
      <c r="D40" s="203">
        <f t="shared" si="10"/>
        <v>67634.191916290729</v>
      </c>
      <c r="E40" s="203">
        <f t="shared" si="10"/>
        <v>75189.695136003633</v>
      </c>
      <c r="F40" s="203">
        <f t="shared" si="10"/>
        <v>125620.15772886315</v>
      </c>
      <c r="G40" s="203">
        <f t="shared" si="10"/>
        <v>47313.876536808319</v>
      </c>
      <c r="H40" s="203">
        <f t="shared" si="10"/>
        <v>22496.456786088958</v>
      </c>
      <c r="I40" s="203">
        <f t="shared" si="10"/>
        <v>19233.215516886914</v>
      </c>
      <c r="J40" s="203">
        <f t="shared" si="10"/>
        <v>36576.608889078954</v>
      </c>
    </row>
    <row r="41" spans="1:10" s="171" customFormat="1" ht="20.100000000000001" customHeight="1">
      <c r="A41" s="354"/>
      <c r="B41" s="355"/>
      <c r="C41" s="356"/>
      <c r="D41" s="356"/>
      <c r="E41" s="356"/>
      <c r="F41" s="356"/>
      <c r="G41" s="356"/>
      <c r="H41" s="356"/>
      <c r="I41" s="356"/>
      <c r="J41" s="356"/>
    </row>
    <row r="42" spans="1:10" s="23" customFormat="1" ht="20.100000000000001" customHeight="1">
      <c r="A42" s="28"/>
      <c r="B42" s="357"/>
      <c r="C42" s="358"/>
      <c r="D42" s="358"/>
      <c r="E42" s="358"/>
      <c r="F42" s="358"/>
      <c r="G42" s="358"/>
      <c r="H42" s="358"/>
      <c r="I42" s="358"/>
      <c r="J42" s="358"/>
    </row>
    <row r="43" spans="1:10" s="291" customFormat="1" ht="20.100000000000001" customHeight="1">
      <c r="A43" s="299" t="s">
        <v>368</v>
      </c>
      <c r="B43" s="252"/>
      <c r="C43" s="435" t="s">
        <v>52</v>
      </c>
      <c r="D43" s="435"/>
      <c r="E43" s="435"/>
      <c r="F43" s="436"/>
      <c r="G43" s="253"/>
      <c r="H43" s="437" t="s">
        <v>369</v>
      </c>
      <c r="I43" s="437"/>
      <c r="J43" s="437"/>
    </row>
    <row r="44" spans="1:10" s="80" customFormat="1" ht="20.100000000000001" customHeight="1">
      <c r="A44" s="209"/>
      <c r="B44" s="210"/>
      <c r="C44" s="404"/>
      <c r="D44" s="404"/>
      <c r="E44" s="404"/>
      <c r="F44" s="404"/>
      <c r="G44" s="211"/>
      <c r="H44" s="405"/>
      <c r="I44" s="405"/>
      <c r="J44" s="405"/>
    </row>
    <row r="45" spans="1:10" s="24" customFormat="1">
      <c r="A45" s="31"/>
      <c r="F45" s="21"/>
      <c r="G45" s="21"/>
      <c r="H45" s="21"/>
      <c r="I45" s="21"/>
      <c r="J45" s="21"/>
    </row>
    <row r="46" spans="1:10" s="24" customFormat="1">
      <c r="A46" s="31"/>
      <c r="F46" s="21"/>
      <c r="G46" s="21"/>
      <c r="H46" s="21"/>
      <c r="I46" s="21"/>
      <c r="J46" s="21"/>
    </row>
    <row r="47" spans="1:10" s="24" customFormat="1">
      <c r="A47" s="31"/>
      <c r="F47" s="21"/>
      <c r="G47" s="21"/>
      <c r="H47" s="21"/>
      <c r="I47" s="21"/>
      <c r="J47" s="21"/>
    </row>
    <row r="48" spans="1:10" s="24" customFormat="1">
      <c r="A48" s="31"/>
      <c r="F48" s="21"/>
      <c r="G48" s="21"/>
      <c r="H48" s="21"/>
      <c r="I48" s="21"/>
      <c r="J48" s="21"/>
    </row>
    <row r="49" spans="1:10" s="24" customFormat="1">
      <c r="A49" s="31"/>
      <c r="F49" s="21"/>
      <c r="G49" s="21"/>
      <c r="H49" s="21"/>
      <c r="I49" s="21"/>
      <c r="J49" s="21"/>
    </row>
    <row r="50" spans="1:10" s="24" customFormat="1">
      <c r="A50" s="31"/>
      <c r="F50" s="21"/>
      <c r="G50" s="21"/>
      <c r="H50" s="21"/>
      <c r="I50" s="21"/>
      <c r="J50" s="21"/>
    </row>
    <row r="51" spans="1:10" s="24" customFormat="1">
      <c r="A51" s="31"/>
      <c r="F51" s="21"/>
      <c r="G51" s="21"/>
      <c r="H51" s="21"/>
      <c r="I51" s="21"/>
      <c r="J51" s="21"/>
    </row>
    <row r="52" spans="1:10" s="24" customFormat="1">
      <c r="A52" s="31"/>
      <c r="F52" s="21"/>
      <c r="G52" s="21"/>
      <c r="H52" s="21"/>
      <c r="I52" s="21"/>
      <c r="J52" s="21"/>
    </row>
    <row r="53" spans="1:10" s="24" customFormat="1">
      <c r="A53" s="31"/>
      <c r="F53" s="21"/>
      <c r="G53" s="21"/>
      <c r="H53" s="21"/>
      <c r="I53" s="21"/>
      <c r="J53" s="21"/>
    </row>
    <row r="54" spans="1:10" s="24" customFormat="1">
      <c r="A54" s="31"/>
      <c r="F54" s="21"/>
      <c r="G54" s="21"/>
      <c r="H54" s="21"/>
      <c r="I54" s="21"/>
      <c r="J54" s="21"/>
    </row>
    <row r="55" spans="1:10" s="24" customFormat="1">
      <c r="A55" s="31"/>
      <c r="F55" s="21"/>
      <c r="G55" s="21"/>
      <c r="H55" s="21"/>
      <c r="I55" s="21"/>
      <c r="J55" s="21"/>
    </row>
    <row r="56" spans="1:10" s="24" customFormat="1">
      <c r="A56" s="31"/>
      <c r="F56" s="21"/>
      <c r="G56" s="21"/>
      <c r="H56" s="21"/>
      <c r="I56" s="21"/>
      <c r="J56" s="21"/>
    </row>
    <row r="57" spans="1:10" s="24" customFormat="1">
      <c r="A57" s="31"/>
      <c r="F57" s="21"/>
      <c r="G57" s="21"/>
      <c r="H57" s="21"/>
      <c r="I57" s="21"/>
      <c r="J57" s="21"/>
    </row>
    <row r="58" spans="1:10" s="24" customFormat="1">
      <c r="A58" s="31"/>
      <c r="F58" s="21"/>
      <c r="G58" s="21"/>
      <c r="H58" s="21"/>
      <c r="I58" s="21"/>
      <c r="J58" s="21"/>
    </row>
    <row r="59" spans="1:10" s="24" customFormat="1">
      <c r="A59" s="31"/>
      <c r="F59" s="21"/>
      <c r="G59" s="21"/>
      <c r="H59" s="21"/>
      <c r="I59" s="21"/>
      <c r="J59" s="21"/>
    </row>
    <row r="60" spans="1:10" s="24" customFormat="1">
      <c r="A60" s="31"/>
      <c r="F60" s="21"/>
      <c r="G60" s="21"/>
      <c r="H60" s="21"/>
      <c r="I60" s="21"/>
      <c r="J60" s="21"/>
    </row>
    <row r="61" spans="1:10" s="24" customFormat="1">
      <c r="A61" s="31"/>
      <c r="F61" s="21"/>
      <c r="G61" s="21"/>
      <c r="H61" s="21"/>
      <c r="I61" s="21"/>
      <c r="J61" s="21"/>
    </row>
    <row r="62" spans="1:10" s="24" customFormat="1">
      <c r="A62" s="31"/>
      <c r="F62" s="21"/>
      <c r="G62" s="21"/>
      <c r="H62" s="21"/>
      <c r="I62" s="21"/>
      <c r="J62" s="21"/>
    </row>
    <row r="63" spans="1:10" s="24" customFormat="1">
      <c r="A63" s="31"/>
      <c r="F63" s="21"/>
      <c r="G63" s="21"/>
      <c r="H63" s="21"/>
      <c r="I63" s="21"/>
      <c r="J63" s="21"/>
    </row>
    <row r="64" spans="1:10" s="24" customFormat="1">
      <c r="A64" s="31"/>
      <c r="F64" s="21"/>
      <c r="G64" s="21"/>
      <c r="H64" s="21"/>
      <c r="I64" s="21"/>
      <c r="J64" s="21"/>
    </row>
    <row r="65" spans="1:10" s="24" customFormat="1">
      <c r="A65" s="31"/>
      <c r="F65" s="21"/>
      <c r="G65" s="21"/>
      <c r="H65" s="21"/>
      <c r="I65" s="21"/>
      <c r="J65" s="21"/>
    </row>
    <row r="66" spans="1:10" s="24" customFormat="1">
      <c r="A66" s="31"/>
      <c r="F66" s="21"/>
      <c r="G66" s="21"/>
      <c r="H66" s="21"/>
      <c r="I66" s="21"/>
      <c r="J66" s="21"/>
    </row>
    <row r="67" spans="1:10" s="24" customFormat="1">
      <c r="A67" s="31"/>
      <c r="F67" s="21"/>
      <c r="G67" s="21"/>
      <c r="H67" s="21"/>
      <c r="I67" s="21"/>
      <c r="J67" s="21"/>
    </row>
    <row r="68" spans="1:10" s="24" customFormat="1">
      <c r="A68" s="31"/>
      <c r="F68" s="21"/>
      <c r="G68" s="21"/>
      <c r="H68" s="21"/>
      <c r="I68" s="21"/>
      <c r="J68" s="21"/>
    </row>
    <row r="69" spans="1:10" s="24" customFormat="1">
      <c r="A69" s="31"/>
      <c r="F69" s="21"/>
      <c r="G69" s="21"/>
      <c r="H69" s="21"/>
      <c r="I69" s="21"/>
      <c r="J69" s="21"/>
    </row>
    <row r="70" spans="1:10" s="24" customFormat="1">
      <c r="A70" s="31"/>
      <c r="F70" s="21"/>
      <c r="G70" s="21"/>
      <c r="H70" s="21"/>
      <c r="I70" s="21"/>
      <c r="J70" s="21"/>
    </row>
    <row r="71" spans="1:10" s="24" customFormat="1">
      <c r="A71" s="31"/>
      <c r="F71" s="21"/>
      <c r="G71" s="21"/>
      <c r="H71" s="21"/>
      <c r="I71" s="21"/>
      <c r="J71" s="21"/>
    </row>
    <row r="72" spans="1:10" s="24" customFormat="1">
      <c r="A72" s="31"/>
      <c r="F72" s="21"/>
      <c r="G72" s="21"/>
      <c r="H72" s="21"/>
      <c r="I72" s="21"/>
      <c r="J72" s="21"/>
    </row>
    <row r="73" spans="1:10" s="24" customFormat="1">
      <c r="A73" s="31"/>
      <c r="F73" s="21"/>
      <c r="G73" s="21"/>
      <c r="H73" s="21"/>
      <c r="I73" s="21"/>
      <c r="J73" s="21"/>
    </row>
    <row r="74" spans="1:10" s="24" customFormat="1">
      <c r="A74" s="31"/>
      <c r="F74" s="21"/>
      <c r="G74" s="21"/>
      <c r="H74" s="21"/>
      <c r="I74" s="21"/>
      <c r="J74" s="21"/>
    </row>
    <row r="75" spans="1:10" s="24" customFormat="1">
      <c r="A75" s="31"/>
      <c r="F75" s="21"/>
      <c r="G75" s="21"/>
      <c r="H75" s="21"/>
      <c r="I75" s="21"/>
      <c r="J75" s="21"/>
    </row>
    <row r="76" spans="1:10" s="24" customFormat="1">
      <c r="A76" s="31"/>
      <c r="F76" s="21"/>
      <c r="G76" s="21"/>
      <c r="H76" s="21"/>
      <c r="I76" s="21"/>
      <c r="J76" s="21"/>
    </row>
    <row r="77" spans="1:10" s="24" customFormat="1">
      <c r="A77" s="31"/>
      <c r="F77" s="21"/>
      <c r="G77" s="21"/>
      <c r="H77" s="21"/>
      <c r="I77" s="21"/>
      <c r="J77" s="21"/>
    </row>
    <row r="78" spans="1:10" s="24" customFormat="1">
      <c r="A78" s="31"/>
      <c r="F78" s="21"/>
      <c r="G78" s="21"/>
      <c r="H78" s="21"/>
      <c r="I78" s="21"/>
      <c r="J78" s="21"/>
    </row>
    <row r="79" spans="1:10" s="24" customFormat="1">
      <c r="A79" s="31"/>
      <c r="F79" s="21"/>
      <c r="G79" s="21"/>
      <c r="H79" s="21"/>
      <c r="I79" s="21"/>
      <c r="J79" s="21"/>
    </row>
    <row r="80" spans="1:10" s="24" customFormat="1">
      <c r="A80" s="31"/>
      <c r="F80" s="21"/>
      <c r="G80" s="21"/>
      <c r="H80" s="21"/>
      <c r="I80" s="21"/>
      <c r="J80" s="21"/>
    </row>
    <row r="81" spans="1:10" s="24" customFormat="1">
      <c r="A81" s="31"/>
      <c r="F81" s="21"/>
      <c r="G81" s="21"/>
      <c r="H81" s="21"/>
      <c r="I81" s="21"/>
      <c r="J81" s="21"/>
    </row>
    <row r="82" spans="1:10" s="24" customFormat="1">
      <c r="A82" s="31"/>
      <c r="F82" s="21"/>
      <c r="G82" s="21"/>
      <c r="H82" s="21"/>
      <c r="I82" s="21"/>
      <c r="J82" s="21"/>
    </row>
    <row r="83" spans="1:10" s="24" customFormat="1">
      <c r="A83" s="31"/>
      <c r="F83" s="21"/>
      <c r="G83" s="21"/>
      <c r="H83" s="21"/>
      <c r="I83" s="21"/>
      <c r="J83" s="21"/>
    </row>
    <row r="84" spans="1:10" s="24" customFormat="1">
      <c r="A84" s="31"/>
      <c r="F84" s="21"/>
      <c r="G84" s="21"/>
      <c r="H84" s="21"/>
      <c r="I84" s="21"/>
      <c r="J84" s="21"/>
    </row>
    <row r="85" spans="1:10" s="24" customFormat="1">
      <c r="A85" s="31"/>
      <c r="F85" s="21"/>
      <c r="G85" s="21"/>
      <c r="H85" s="21"/>
      <c r="I85" s="21"/>
      <c r="J85" s="21"/>
    </row>
    <row r="86" spans="1:10" s="24" customFormat="1">
      <c r="A86" s="31"/>
      <c r="F86" s="21"/>
      <c r="G86" s="21"/>
      <c r="H86" s="21"/>
      <c r="I86" s="21"/>
      <c r="J86" s="21"/>
    </row>
    <row r="87" spans="1:10" s="24" customFormat="1">
      <c r="A87" s="31"/>
      <c r="F87" s="21"/>
      <c r="G87" s="21"/>
      <c r="H87" s="21"/>
      <c r="I87" s="21"/>
      <c r="J87" s="21"/>
    </row>
    <row r="88" spans="1:10" s="24" customFormat="1">
      <c r="A88" s="31"/>
      <c r="F88" s="21"/>
      <c r="G88" s="21"/>
      <c r="H88" s="21"/>
      <c r="I88" s="21"/>
      <c r="J88" s="21"/>
    </row>
    <row r="89" spans="1:10" s="24" customFormat="1">
      <c r="A89" s="31"/>
      <c r="F89" s="21"/>
      <c r="G89" s="21"/>
      <c r="H89" s="21"/>
      <c r="I89" s="21"/>
      <c r="J89" s="21"/>
    </row>
    <row r="90" spans="1:10" s="24" customFormat="1">
      <c r="A90" s="31"/>
      <c r="F90" s="21"/>
      <c r="G90" s="21"/>
      <c r="H90" s="21"/>
      <c r="I90" s="21"/>
      <c r="J90" s="21"/>
    </row>
    <row r="91" spans="1:10" s="24" customFormat="1">
      <c r="A91" s="31"/>
      <c r="F91" s="21"/>
      <c r="G91" s="21"/>
      <c r="H91" s="21"/>
      <c r="I91" s="21"/>
      <c r="J91" s="21"/>
    </row>
    <row r="92" spans="1:10" s="24" customFormat="1">
      <c r="A92" s="31"/>
      <c r="F92" s="21"/>
      <c r="G92" s="21"/>
      <c r="H92" s="21"/>
      <c r="I92" s="21"/>
      <c r="J92" s="21"/>
    </row>
    <row r="93" spans="1:10" s="24" customFormat="1">
      <c r="A93" s="31"/>
      <c r="F93" s="21"/>
      <c r="G93" s="21"/>
      <c r="H93" s="21"/>
      <c r="I93" s="21"/>
      <c r="J93" s="21"/>
    </row>
    <row r="94" spans="1:10" s="24" customFormat="1">
      <c r="A94" s="31"/>
      <c r="F94" s="21"/>
      <c r="G94" s="21"/>
      <c r="H94" s="21"/>
      <c r="I94" s="21"/>
      <c r="J94" s="21"/>
    </row>
    <row r="95" spans="1:10" s="24" customFormat="1">
      <c r="A95" s="31"/>
      <c r="F95" s="21"/>
      <c r="G95" s="21"/>
      <c r="H95" s="21"/>
      <c r="I95" s="21"/>
      <c r="J95" s="21"/>
    </row>
    <row r="96" spans="1:10" s="24" customFormat="1">
      <c r="A96" s="31"/>
      <c r="F96" s="21"/>
      <c r="G96" s="21"/>
      <c r="H96" s="21"/>
      <c r="I96" s="21"/>
      <c r="J96" s="21"/>
    </row>
    <row r="97" spans="1:10" s="24" customFormat="1">
      <c r="A97" s="31"/>
      <c r="F97" s="21"/>
      <c r="G97" s="21"/>
      <c r="H97" s="21"/>
      <c r="I97" s="21"/>
      <c r="J97" s="21"/>
    </row>
    <row r="98" spans="1:10" s="24" customFormat="1">
      <c r="A98" s="31"/>
      <c r="F98" s="21"/>
      <c r="G98" s="21"/>
      <c r="H98" s="21"/>
      <c r="I98" s="21"/>
      <c r="J98" s="21"/>
    </row>
    <row r="99" spans="1:10" s="24" customFormat="1">
      <c r="A99" s="31"/>
      <c r="F99" s="21"/>
      <c r="G99" s="21"/>
      <c r="H99" s="21"/>
      <c r="I99" s="21"/>
      <c r="J99" s="21"/>
    </row>
    <row r="100" spans="1:10" s="24" customFormat="1">
      <c r="A100" s="31"/>
      <c r="F100" s="21"/>
      <c r="G100" s="21"/>
      <c r="H100" s="21"/>
      <c r="I100" s="21"/>
      <c r="J100" s="21"/>
    </row>
    <row r="101" spans="1:10" s="24" customFormat="1">
      <c r="A101" s="31"/>
      <c r="F101" s="21"/>
      <c r="G101" s="21"/>
      <c r="H101" s="21"/>
      <c r="I101" s="21"/>
      <c r="J101" s="21"/>
    </row>
    <row r="102" spans="1:10" s="24" customFormat="1">
      <c r="A102" s="31"/>
      <c r="F102" s="21"/>
      <c r="G102" s="21"/>
      <c r="H102" s="21"/>
      <c r="I102" s="21"/>
      <c r="J102" s="21"/>
    </row>
    <row r="103" spans="1:10" s="24" customFormat="1">
      <c r="A103" s="31"/>
      <c r="F103" s="21"/>
      <c r="G103" s="21"/>
      <c r="H103" s="21"/>
      <c r="I103" s="21"/>
      <c r="J103" s="21"/>
    </row>
    <row r="104" spans="1:10" s="24" customFormat="1">
      <c r="A104" s="31"/>
      <c r="F104" s="21"/>
      <c r="G104" s="21"/>
      <c r="H104" s="21"/>
      <c r="I104" s="21"/>
      <c r="J104" s="21"/>
    </row>
    <row r="105" spans="1:10" s="24" customFormat="1">
      <c r="A105" s="31"/>
      <c r="F105" s="21"/>
      <c r="G105" s="21"/>
      <c r="H105" s="21"/>
      <c r="I105" s="21"/>
      <c r="J105" s="21"/>
    </row>
    <row r="106" spans="1:10" s="24" customFormat="1">
      <c r="A106" s="31"/>
      <c r="F106" s="21"/>
      <c r="G106" s="21"/>
      <c r="H106" s="21"/>
      <c r="I106" s="21"/>
      <c r="J106" s="21"/>
    </row>
    <row r="107" spans="1:10" s="24" customFormat="1">
      <c r="A107" s="31"/>
      <c r="F107" s="21"/>
      <c r="G107" s="21"/>
      <c r="H107" s="21"/>
      <c r="I107" s="21"/>
      <c r="J107" s="21"/>
    </row>
    <row r="108" spans="1:10" s="24" customFormat="1">
      <c r="A108" s="31"/>
      <c r="F108" s="21"/>
      <c r="G108" s="21"/>
      <c r="H108" s="21"/>
      <c r="I108" s="21"/>
      <c r="J108" s="21"/>
    </row>
    <row r="109" spans="1:10" s="24" customFormat="1">
      <c r="A109" s="31"/>
      <c r="F109" s="21"/>
      <c r="G109" s="21"/>
      <c r="H109" s="21"/>
      <c r="I109" s="21"/>
      <c r="J109" s="21"/>
    </row>
    <row r="110" spans="1:10" s="24" customFormat="1">
      <c r="A110" s="31"/>
      <c r="F110" s="21"/>
      <c r="G110" s="21"/>
      <c r="H110" s="21"/>
      <c r="I110" s="21"/>
      <c r="J110" s="21"/>
    </row>
    <row r="111" spans="1:10" s="24" customFormat="1">
      <c r="A111" s="31"/>
      <c r="F111" s="21"/>
      <c r="G111" s="21"/>
      <c r="H111" s="21"/>
      <c r="I111" s="21"/>
      <c r="J111" s="21"/>
    </row>
    <row r="112" spans="1:10" s="24" customFormat="1">
      <c r="A112" s="31"/>
      <c r="F112" s="21"/>
      <c r="G112" s="21"/>
      <c r="H112" s="21"/>
      <c r="I112" s="21"/>
      <c r="J112" s="21"/>
    </row>
    <row r="113" spans="1:10" s="24" customFormat="1">
      <c r="A113" s="31"/>
      <c r="F113" s="21"/>
      <c r="G113" s="21"/>
      <c r="H113" s="21"/>
      <c r="I113" s="21"/>
      <c r="J113" s="21"/>
    </row>
    <row r="114" spans="1:10" s="24" customFormat="1">
      <c r="A114" s="31"/>
      <c r="F114" s="21"/>
      <c r="G114" s="21"/>
      <c r="H114" s="21"/>
      <c r="I114" s="21"/>
      <c r="J114" s="21"/>
    </row>
    <row r="115" spans="1:10" s="24" customFormat="1">
      <c r="A115" s="31"/>
      <c r="F115" s="21"/>
      <c r="G115" s="21"/>
      <c r="H115" s="21"/>
      <c r="I115" s="21"/>
      <c r="J115" s="21"/>
    </row>
    <row r="116" spans="1:10" s="24" customFormat="1">
      <c r="A116" s="31"/>
      <c r="F116" s="21"/>
      <c r="G116" s="21"/>
      <c r="H116" s="21"/>
      <c r="I116" s="21"/>
      <c r="J116" s="21"/>
    </row>
    <row r="117" spans="1:10" s="24" customFormat="1">
      <c r="A117" s="31"/>
      <c r="F117" s="21"/>
      <c r="G117" s="21"/>
      <c r="H117" s="21"/>
      <c r="I117" s="21"/>
      <c r="J117" s="21"/>
    </row>
    <row r="118" spans="1:10" s="24" customFormat="1">
      <c r="A118" s="31"/>
      <c r="F118" s="21"/>
      <c r="G118" s="21"/>
      <c r="H118" s="21"/>
      <c r="I118" s="21"/>
      <c r="J118" s="21"/>
    </row>
    <row r="119" spans="1:10" s="24" customFormat="1">
      <c r="A119" s="31"/>
      <c r="F119" s="21"/>
      <c r="G119" s="21"/>
      <c r="H119" s="21"/>
      <c r="I119" s="21"/>
      <c r="J119" s="21"/>
    </row>
    <row r="120" spans="1:10" s="24" customFormat="1">
      <c r="A120" s="31"/>
      <c r="F120" s="21"/>
      <c r="G120" s="21"/>
      <c r="H120" s="21"/>
      <c r="I120" s="21"/>
      <c r="J120" s="21"/>
    </row>
    <row r="121" spans="1:10" s="24" customFormat="1">
      <c r="A121" s="31"/>
      <c r="F121" s="21"/>
      <c r="G121" s="21"/>
      <c r="H121" s="21"/>
      <c r="I121" s="21"/>
      <c r="J121" s="21"/>
    </row>
    <row r="122" spans="1:10" s="24" customFormat="1">
      <c r="A122" s="31"/>
      <c r="F122" s="21"/>
      <c r="G122" s="21"/>
      <c r="H122" s="21"/>
      <c r="I122" s="21"/>
      <c r="J122" s="21"/>
    </row>
    <row r="123" spans="1:10" s="24" customFormat="1">
      <c r="A123" s="31"/>
      <c r="F123" s="21"/>
      <c r="G123" s="21"/>
      <c r="H123" s="21"/>
      <c r="I123" s="21"/>
      <c r="J123" s="21"/>
    </row>
    <row r="124" spans="1:10" s="24" customFormat="1">
      <c r="A124" s="31"/>
      <c r="F124" s="21"/>
      <c r="G124" s="21"/>
      <c r="H124" s="21"/>
      <c r="I124" s="21"/>
      <c r="J124" s="21"/>
    </row>
    <row r="125" spans="1:10" s="24" customFormat="1">
      <c r="A125" s="31"/>
      <c r="F125" s="21"/>
      <c r="G125" s="21"/>
      <c r="H125" s="21"/>
      <c r="I125" s="21"/>
      <c r="J125" s="21"/>
    </row>
    <row r="126" spans="1:10" s="24" customFormat="1">
      <c r="A126" s="31"/>
      <c r="F126" s="21"/>
      <c r="G126" s="21"/>
      <c r="H126" s="21"/>
      <c r="I126" s="21"/>
      <c r="J126" s="21"/>
    </row>
    <row r="127" spans="1:10" s="24" customFormat="1">
      <c r="A127" s="31"/>
      <c r="F127" s="21"/>
      <c r="G127" s="21"/>
      <c r="H127" s="21"/>
      <c r="I127" s="21"/>
      <c r="J127" s="21"/>
    </row>
    <row r="128" spans="1:10" s="24" customFormat="1">
      <c r="A128" s="31"/>
      <c r="F128" s="21"/>
      <c r="G128" s="21"/>
      <c r="H128" s="21"/>
      <c r="I128" s="21"/>
      <c r="J128" s="21"/>
    </row>
    <row r="129" spans="1:10" s="24" customFormat="1">
      <c r="A129" s="31"/>
      <c r="F129" s="21"/>
      <c r="G129" s="21"/>
      <c r="H129" s="21"/>
      <c r="I129" s="21"/>
      <c r="J129" s="21"/>
    </row>
    <row r="130" spans="1:10" s="24" customFormat="1">
      <c r="A130" s="31"/>
      <c r="F130" s="21"/>
      <c r="G130" s="21"/>
      <c r="H130" s="21"/>
      <c r="I130" s="21"/>
      <c r="J130" s="21"/>
    </row>
    <row r="131" spans="1:10" s="24" customFormat="1">
      <c r="A131" s="31"/>
      <c r="F131" s="21"/>
      <c r="G131" s="21"/>
      <c r="H131" s="21"/>
      <c r="I131" s="21"/>
      <c r="J131" s="21"/>
    </row>
    <row r="132" spans="1:10" s="24" customFormat="1">
      <c r="A132" s="31"/>
      <c r="F132" s="21"/>
      <c r="G132" s="21"/>
      <c r="H132" s="21"/>
      <c r="I132" s="21"/>
      <c r="J132" s="21"/>
    </row>
    <row r="133" spans="1:10" s="24" customFormat="1">
      <c r="A133" s="31"/>
      <c r="F133" s="21"/>
      <c r="G133" s="21"/>
      <c r="H133" s="21"/>
      <c r="I133" s="21"/>
      <c r="J133" s="21"/>
    </row>
    <row r="134" spans="1:10" s="24" customFormat="1">
      <c r="A134" s="31"/>
      <c r="F134" s="21"/>
      <c r="G134" s="21"/>
      <c r="H134" s="21"/>
      <c r="I134" s="21"/>
      <c r="J134" s="21"/>
    </row>
    <row r="135" spans="1:10" s="24" customFormat="1">
      <c r="A135" s="31"/>
      <c r="F135" s="21"/>
      <c r="G135" s="21"/>
      <c r="H135" s="21"/>
      <c r="I135" s="21"/>
      <c r="J135" s="21"/>
    </row>
    <row r="136" spans="1:10" s="24" customFormat="1">
      <c r="A136" s="31"/>
      <c r="F136" s="21"/>
      <c r="G136" s="21"/>
      <c r="H136" s="21"/>
      <c r="I136" s="21"/>
      <c r="J136" s="21"/>
    </row>
    <row r="137" spans="1:10" s="24" customFormat="1">
      <c r="A137" s="31"/>
      <c r="F137" s="21"/>
      <c r="G137" s="21"/>
      <c r="H137" s="21"/>
      <c r="I137" s="21"/>
      <c r="J137" s="21"/>
    </row>
    <row r="138" spans="1:10" s="24" customFormat="1">
      <c r="A138" s="31"/>
      <c r="F138" s="21"/>
      <c r="G138" s="21"/>
      <c r="H138" s="21"/>
      <c r="I138" s="21"/>
      <c r="J138" s="21"/>
    </row>
    <row r="139" spans="1:10" s="24" customFormat="1">
      <c r="A139" s="31"/>
      <c r="F139" s="21"/>
      <c r="G139" s="21"/>
      <c r="H139" s="21"/>
      <c r="I139" s="21"/>
      <c r="J139" s="21"/>
    </row>
    <row r="140" spans="1:10" s="24" customFormat="1">
      <c r="A140" s="31"/>
      <c r="F140" s="21"/>
      <c r="G140" s="21"/>
      <c r="H140" s="21"/>
      <c r="I140" s="21"/>
      <c r="J140" s="21"/>
    </row>
    <row r="141" spans="1:10" s="24" customFormat="1">
      <c r="A141" s="31"/>
      <c r="F141" s="21"/>
      <c r="G141" s="21"/>
      <c r="H141" s="21"/>
      <c r="I141" s="21"/>
      <c r="J141" s="21"/>
    </row>
    <row r="142" spans="1:10" s="24" customFormat="1">
      <c r="A142" s="31"/>
      <c r="F142" s="21"/>
      <c r="G142" s="21"/>
      <c r="H142" s="21"/>
      <c r="I142" s="21"/>
      <c r="J142" s="21"/>
    </row>
    <row r="143" spans="1:10" s="24" customFormat="1">
      <c r="A143" s="31"/>
      <c r="F143" s="21"/>
      <c r="G143" s="21"/>
      <c r="H143" s="21"/>
      <c r="I143" s="21"/>
      <c r="J143" s="21"/>
    </row>
    <row r="144" spans="1:10" s="24" customFormat="1">
      <c r="A144" s="31"/>
      <c r="F144" s="21"/>
      <c r="G144" s="21"/>
      <c r="H144" s="21"/>
      <c r="I144" s="21"/>
      <c r="J144" s="21"/>
    </row>
    <row r="145" spans="1:10" s="24" customFormat="1">
      <c r="A145" s="31"/>
      <c r="F145" s="21"/>
      <c r="G145" s="21"/>
      <c r="H145" s="21"/>
      <c r="I145" s="21"/>
      <c r="J145" s="21"/>
    </row>
    <row r="146" spans="1:10" s="24" customFormat="1">
      <c r="A146" s="31"/>
      <c r="F146" s="21"/>
      <c r="G146" s="21"/>
      <c r="H146" s="21"/>
      <c r="I146" s="21"/>
      <c r="J146" s="21"/>
    </row>
    <row r="147" spans="1:10" s="24" customFormat="1">
      <c r="A147" s="31"/>
      <c r="F147" s="21"/>
      <c r="G147" s="21"/>
      <c r="H147" s="21"/>
      <c r="I147" s="21"/>
      <c r="J147" s="21"/>
    </row>
    <row r="148" spans="1:10" s="24" customFormat="1">
      <c r="A148" s="31"/>
      <c r="F148" s="21"/>
      <c r="G148" s="21"/>
      <c r="H148" s="21"/>
      <c r="I148" s="21"/>
      <c r="J148" s="21"/>
    </row>
    <row r="149" spans="1:10" s="24" customFormat="1">
      <c r="A149" s="31"/>
      <c r="F149" s="21"/>
      <c r="G149" s="21"/>
      <c r="H149" s="21"/>
      <c r="I149" s="21"/>
      <c r="J149" s="21"/>
    </row>
    <row r="150" spans="1:10" s="24" customFormat="1">
      <c r="A150" s="31"/>
      <c r="F150" s="21"/>
      <c r="G150" s="21"/>
      <c r="H150" s="21"/>
      <c r="I150" s="21"/>
      <c r="J150" s="21"/>
    </row>
    <row r="151" spans="1:10" s="24" customFormat="1">
      <c r="A151" s="31"/>
      <c r="F151" s="21"/>
      <c r="G151" s="21"/>
      <c r="H151" s="21"/>
      <c r="I151" s="21"/>
      <c r="J151" s="21"/>
    </row>
    <row r="152" spans="1:10" s="24" customFormat="1">
      <c r="A152" s="31"/>
      <c r="F152" s="21"/>
      <c r="G152" s="21"/>
      <c r="H152" s="21"/>
      <c r="I152" s="21"/>
      <c r="J152" s="21"/>
    </row>
    <row r="153" spans="1:10" s="24" customFormat="1">
      <c r="A153" s="31"/>
      <c r="F153" s="21"/>
      <c r="G153" s="21"/>
      <c r="H153" s="21"/>
      <c r="I153" s="21"/>
      <c r="J153" s="21"/>
    </row>
    <row r="154" spans="1:10" s="24" customFormat="1">
      <c r="A154" s="31"/>
      <c r="F154" s="21"/>
      <c r="G154" s="21"/>
      <c r="H154" s="21"/>
      <c r="I154" s="21"/>
      <c r="J154" s="21"/>
    </row>
    <row r="155" spans="1:10" s="24" customFormat="1">
      <c r="A155" s="31"/>
      <c r="F155" s="21"/>
      <c r="G155" s="21"/>
      <c r="H155" s="21"/>
      <c r="I155" s="21"/>
      <c r="J155" s="21"/>
    </row>
    <row r="156" spans="1:10" s="24" customFormat="1">
      <c r="A156" s="31"/>
      <c r="F156" s="21"/>
      <c r="G156" s="21"/>
      <c r="H156" s="21"/>
      <c r="I156" s="21"/>
      <c r="J156" s="21"/>
    </row>
    <row r="157" spans="1:10" s="24" customFormat="1">
      <c r="A157" s="31"/>
      <c r="F157" s="21"/>
      <c r="G157" s="21"/>
      <c r="H157" s="21"/>
      <c r="I157" s="21"/>
      <c r="J157" s="21"/>
    </row>
    <row r="158" spans="1:10" s="24" customFormat="1">
      <c r="A158" s="31"/>
      <c r="F158" s="21"/>
      <c r="G158" s="21"/>
      <c r="H158" s="21"/>
      <c r="I158" s="21"/>
      <c r="J158" s="21"/>
    </row>
    <row r="159" spans="1:10" s="24" customFormat="1">
      <c r="A159" s="31"/>
      <c r="F159" s="21"/>
      <c r="G159" s="21"/>
      <c r="H159" s="21"/>
      <c r="I159" s="21"/>
      <c r="J159" s="21"/>
    </row>
    <row r="160" spans="1:10" s="24" customFormat="1">
      <c r="A160" s="31"/>
      <c r="F160" s="21"/>
      <c r="G160" s="21"/>
      <c r="H160" s="21"/>
      <c r="I160" s="21"/>
      <c r="J160" s="21"/>
    </row>
    <row r="161" spans="1:10" s="24" customFormat="1">
      <c r="A161" s="31"/>
      <c r="F161" s="21"/>
      <c r="G161" s="21"/>
      <c r="H161" s="21"/>
      <c r="I161" s="21"/>
      <c r="J161" s="21"/>
    </row>
    <row r="162" spans="1:10" s="24" customFormat="1">
      <c r="A162" s="31"/>
      <c r="F162" s="21"/>
      <c r="G162" s="21"/>
      <c r="H162" s="21"/>
      <c r="I162" s="21"/>
      <c r="J162" s="21"/>
    </row>
    <row r="163" spans="1:10" s="24" customFormat="1">
      <c r="A163" s="31"/>
      <c r="F163" s="21"/>
      <c r="G163" s="21"/>
      <c r="H163" s="21"/>
      <c r="I163" s="21"/>
      <c r="J163" s="21"/>
    </row>
    <row r="164" spans="1:10" s="24" customFormat="1">
      <c r="A164" s="31"/>
      <c r="F164" s="21"/>
      <c r="G164" s="21"/>
      <c r="H164" s="21"/>
      <c r="I164" s="21"/>
      <c r="J164" s="21"/>
    </row>
    <row r="165" spans="1:10" s="24" customFormat="1">
      <c r="A165" s="31"/>
      <c r="F165" s="21"/>
      <c r="G165" s="21"/>
      <c r="H165" s="21"/>
      <c r="I165" s="21"/>
      <c r="J165" s="21"/>
    </row>
    <row r="166" spans="1:10" s="24" customFormat="1">
      <c r="A166" s="31"/>
      <c r="F166" s="21"/>
      <c r="G166" s="21"/>
      <c r="H166" s="21"/>
      <c r="I166" s="21"/>
      <c r="J166" s="21"/>
    </row>
    <row r="167" spans="1:10" s="24" customFormat="1">
      <c r="A167" s="31"/>
      <c r="F167" s="21"/>
      <c r="G167" s="21"/>
      <c r="H167" s="21"/>
      <c r="I167" s="21"/>
      <c r="J167" s="21"/>
    </row>
    <row r="168" spans="1:10" s="24" customFormat="1">
      <c r="A168" s="31"/>
      <c r="F168" s="21"/>
      <c r="G168" s="21"/>
      <c r="H168" s="21"/>
      <c r="I168" s="21"/>
      <c r="J168" s="21"/>
    </row>
    <row r="169" spans="1:10" s="24" customFormat="1">
      <c r="A169" s="31"/>
      <c r="F169" s="21"/>
      <c r="G169" s="21"/>
      <c r="H169" s="21"/>
      <c r="I169" s="21"/>
      <c r="J169" s="21"/>
    </row>
    <row r="170" spans="1:10" s="24" customFormat="1">
      <c r="A170" s="31"/>
      <c r="F170" s="21"/>
      <c r="G170" s="21"/>
      <c r="H170" s="21"/>
      <c r="I170" s="21"/>
      <c r="J170" s="21"/>
    </row>
    <row r="171" spans="1:10" s="24" customFormat="1">
      <c r="A171" s="31"/>
      <c r="F171" s="21"/>
      <c r="G171" s="21"/>
      <c r="H171" s="21"/>
      <c r="I171" s="21"/>
      <c r="J171" s="21"/>
    </row>
    <row r="172" spans="1:10" s="24" customFormat="1">
      <c r="A172" s="31"/>
      <c r="F172" s="21"/>
      <c r="G172" s="21"/>
      <c r="H172" s="21"/>
      <c r="I172" s="21"/>
      <c r="J172" s="21"/>
    </row>
    <row r="173" spans="1:10" s="24" customFormat="1">
      <c r="A173" s="31"/>
      <c r="F173" s="21"/>
      <c r="G173" s="21"/>
      <c r="H173" s="21"/>
      <c r="I173" s="21"/>
      <c r="J173" s="21"/>
    </row>
    <row r="174" spans="1:10" s="24" customFormat="1">
      <c r="A174" s="31"/>
      <c r="F174" s="21"/>
      <c r="G174" s="21"/>
      <c r="H174" s="21"/>
      <c r="I174" s="21"/>
      <c r="J174" s="21"/>
    </row>
    <row r="175" spans="1:10" s="24" customFormat="1">
      <c r="A175" s="31"/>
      <c r="F175" s="21"/>
      <c r="G175" s="21"/>
      <c r="H175" s="21"/>
      <c r="I175" s="21"/>
      <c r="J175" s="21"/>
    </row>
    <row r="176" spans="1:10" s="24" customFormat="1">
      <c r="A176" s="31"/>
      <c r="F176" s="21"/>
      <c r="G176" s="21"/>
      <c r="H176" s="21"/>
      <c r="I176" s="21"/>
      <c r="J176" s="21"/>
    </row>
    <row r="177" spans="1:10" s="24" customFormat="1">
      <c r="A177" s="31"/>
      <c r="F177" s="21"/>
      <c r="G177" s="21"/>
      <c r="H177" s="21"/>
      <c r="I177" s="21"/>
      <c r="J177" s="21"/>
    </row>
    <row r="178" spans="1:10" s="24" customFormat="1">
      <c r="A178" s="31"/>
      <c r="F178" s="21"/>
      <c r="G178" s="21"/>
      <c r="H178" s="21"/>
      <c r="I178" s="21"/>
      <c r="J178" s="21"/>
    </row>
    <row r="179" spans="1:10" s="24" customFormat="1">
      <c r="A179" s="31"/>
      <c r="F179" s="21"/>
      <c r="G179" s="21"/>
      <c r="H179" s="21"/>
      <c r="I179" s="21"/>
      <c r="J179" s="21"/>
    </row>
    <row r="180" spans="1:10" s="24" customFormat="1">
      <c r="A180" s="31"/>
      <c r="F180" s="21"/>
      <c r="G180" s="21"/>
      <c r="H180" s="21"/>
      <c r="I180" s="21"/>
      <c r="J180" s="21"/>
    </row>
    <row r="181" spans="1:10" s="24" customFormat="1">
      <c r="A181" s="31"/>
      <c r="F181" s="21"/>
      <c r="G181" s="21"/>
      <c r="H181" s="21"/>
      <c r="I181" s="21"/>
      <c r="J181" s="21"/>
    </row>
    <row r="182" spans="1:10" s="24" customFormat="1">
      <c r="A182" s="31"/>
      <c r="F182" s="21"/>
      <c r="G182" s="21"/>
      <c r="H182" s="21"/>
      <c r="I182" s="21"/>
      <c r="J182" s="21"/>
    </row>
    <row r="183" spans="1:10" s="24" customFormat="1">
      <c r="A183" s="31"/>
      <c r="F183" s="21"/>
      <c r="G183" s="21"/>
      <c r="H183" s="21"/>
      <c r="I183" s="21"/>
      <c r="J183" s="21"/>
    </row>
    <row r="184" spans="1:10" s="24" customFormat="1">
      <c r="A184" s="31"/>
      <c r="F184" s="21"/>
      <c r="G184" s="21"/>
      <c r="H184" s="21"/>
      <c r="I184" s="21"/>
      <c r="J184" s="21"/>
    </row>
    <row r="185" spans="1:10" s="24" customFormat="1">
      <c r="A185" s="31"/>
      <c r="F185" s="21"/>
      <c r="G185" s="21"/>
      <c r="H185" s="21"/>
      <c r="I185" s="21"/>
      <c r="J185" s="21"/>
    </row>
    <row r="186" spans="1:10" s="24" customFormat="1">
      <c r="A186" s="31"/>
      <c r="F186" s="21"/>
      <c r="G186" s="21"/>
      <c r="H186" s="21"/>
      <c r="I186" s="21"/>
      <c r="J186" s="21"/>
    </row>
    <row r="187" spans="1:10" s="24" customFormat="1">
      <c r="A187" s="31"/>
      <c r="F187" s="21"/>
      <c r="G187" s="21"/>
      <c r="H187" s="21"/>
      <c r="I187" s="21"/>
      <c r="J187" s="21"/>
    </row>
    <row r="188" spans="1:10" s="24" customFormat="1">
      <c r="A188" s="31"/>
      <c r="F188" s="21"/>
      <c r="G188" s="21"/>
      <c r="H188" s="21"/>
      <c r="I188" s="21"/>
      <c r="J188" s="21"/>
    </row>
    <row r="189" spans="1:10" s="24" customFormat="1">
      <c r="A189" s="31"/>
      <c r="F189" s="21"/>
      <c r="G189" s="21"/>
      <c r="H189" s="21"/>
      <c r="I189" s="21"/>
      <c r="J189" s="21"/>
    </row>
    <row r="190" spans="1:10" s="24" customFormat="1">
      <c r="A190" s="31"/>
      <c r="F190" s="21"/>
      <c r="G190" s="21"/>
      <c r="H190" s="21"/>
      <c r="I190" s="21"/>
      <c r="J190" s="21"/>
    </row>
    <row r="191" spans="1:10" s="24" customFormat="1">
      <c r="A191" s="31"/>
      <c r="F191" s="21"/>
      <c r="G191" s="21"/>
      <c r="H191" s="21"/>
      <c r="I191" s="21"/>
      <c r="J191" s="21"/>
    </row>
    <row r="192" spans="1:10" s="24" customFormat="1">
      <c r="A192" s="31"/>
      <c r="F192" s="21"/>
      <c r="G192" s="21"/>
      <c r="H192" s="21"/>
      <c r="I192" s="21"/>
      <c r="J192" s="21"/>
    </row>
    <row r="193" spans="1:10" s="24" customFormat="1">
      <c r="A193" s="31"/>
      <c r="F193" s="21"/>
      <c r="G193" s="21"/>
      <c r="H193" s="21"/>
      <c r="I193" s="21"/>
      <c r="J193" s="21"/>
    </row>
    <row r="194" spans="1:10" s="24" customFormat="1">
      <c r="A194" s="21"/>
      <c r="F194" s="21"/>
      <c r="G194" s="21"/>
      <c r="H194" s="21"/>
      <c r="I194" s="21"/>
      <c r="J194" s="21"/>
    </row>
  </sheetData>
  <mergeCells count="14">
    <mergeCell ref="C44:F44"/>
    <mergeCell ref="H44:J44"/>
    <mergeCell ref="A7:J7"/>
    <mergeCell ref="A18:J18"/>
    <mergeCell ref="C43:F43"/>
    <mergeCell ref="H43:J43"/>
    <mergeCell ref="A2:J2"/>
    <mergeCell ref="A4:A5"/>
    <mergeCell ref="B4:B5"/>
    <mergeCell ref="C4:C5"/>
    <mergeCell ref="F4:F5"/>
    <mergeCell ref="G4:J4"/>
    <mergeCell ref="E4:E5"/>
    <mergeCell ref="D4:D5"/>
  </mergeCells>
  <phoneticPr fontId="3" type="noConversion"/>
  <printOptions horizontalCentered="1"/>
  <pageMargins left="0.70866141732283472" right="0.19685039370078741" top="0.39370078740157483" bottom="0.19685039370078741" header="0.19685039370078741" footer="0.11811023622047245"/>
  <pageSetup paperSize="9" scale="51" fitToHeight="2" orientation="landscape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M99"/>
  <sheetViews>
    <sheetView zoomScale="85" zoomScaleNormal="85" zoomScaleSheetLayoutView="75" workbookViewId="0">
      <selection activeCell="E27" sqref="E27"/>
    </sheetView>
  </sheetViews>
  <sheetFormatPr defaultRowHeight="18.75" outlineLevelRow="1"/>
  <cols>
    <col min="1" max="1" width="83.140625" style="2" customWidth="1"/>
    <col min="2" max="2" width="10.7109375" style="2" customWidth="1"/>
    <col min="3" max="5" width="16.28515625" style="2" customWidth="1"/>
    <col min="6" max="10" width="16" style="2" customWidth="1"/>
    <col min="11" max="13" width="16.85546875" style="2" customWidth="1"/>
    <col min="14" max="16384" width="9.140625" style="2"/>
  </cols>
  <sheetData>
    <row r="2" spans="1:13">
      <c r="A2" s="426" t="s">
        <v>182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3" outlineLevel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3" ht="48" customHeight="1">
      <c r="A4" s="438" t="s">
        <v>91</v>
      </c>
      <c r="B4" s="440" t="s">
        <v>0</v>
      </c>
      <c r="C4" s="420" t="s">
        <v>365</v>
      </c>
      <c r="D4" s="420" t="s">
        <v>366</v>
      </c>
      <c r="E4" s="420" t="s">
        <v>367</v>
      </c>
      <c r="F4" s="420" t="s">
        <v>567</v>
      </c>
      <c r="G4" s="433" t="s">
        <v>109</v>
      </c>
      <c r="H4" s="433"/>
      <c r="I4" s="433"/>
      <c r="J4" s="433"/>
    </row>
    <row r="5" spans="1:13" ht="38.25" customHeight="1">
      <c r="A5" s="439"/>
      <c r="B5" s="440"/>
      <c r="C5" s="421"/>
      <c r="D5" s="421"/>
      <c r="E5" s="421"/>
      <c r="F5" s="421"/>
      <c r="G5" s="305" t="s">
        <v>72</v>
      </c>
      <c r="H5" s="305" t="s">
        <v>73</v>
      </c>
      <c r="I5" s="305" t="s">
        <v>74</v>
      </c>
      <c r="J5" s="305" t="s">
        <v>39</v>
      </c>
    </row>
    <row r="6" spans="1:13" ht="18" customHeight="1">
      <c r="A6" s="304">
        <v>1</v>
      </c>
      <c r="B6" s="305">
        <v>2</v>
      </c>
      <c r="C6" s="305">
        <v>3</v>
      </c>
      <c r="D6" s="305">
        <v>4</v>
      </c>
      <c r="E6" s="305">
        <v>5</v>
      </c>
      <c r="F6" s="305">
        <v>6</v>
      </c>
      <c r="G6" s="305">
        <v>7</v>
      </c>
      <c r="H6" s="305">
        <v>8</v>
      </c>
      <c r="I6" s="305">
        <v>9</v>
      </c>
      <c r="J6" s="305">
        <v>10</v>
      </c>
    </row>
    <row r="7" spans="1:13" s="30" customFormat="1" ht="30.75" customHeight="1">
      <c r="A7" s="434" t="s">
        <v>67</v>
      </c>
      <c r="B7" s="434"/>
      <c r="C7" s="434"/>
      <c r="D7" s="434"/>
      <c r="E7" s="434"/>
      <c r="F7" s="434"/>
      <c r="G7" s="434"/>
      <c r="H7" s="434"/>
      <c r="I7" s="434"/>
      <c r="J7" s="434"/>
    </row>
    <row r="8" spans="1:13" ht="20.100000000000001" customHeight="1">
      <c r="A8" s="310" t="s">
        <v>183</v>
      </c>
      <c r="B8" s="57">
        <v>3000</v>
      </c>
      <c r="C8" s="185">
        <f>C9+C10+C12+C15+C16+C17+C21</f>
        <v>580190</v>
      </c>
      <c r="D8" s="185">
        <f t="shared" ref="D8:E8" si="0">D9+D10+D12+D15+D16+D17+D21</f>
        <v>735137.36168419593</v>
      </c>
      <c r="E8" s="185">
        <f t="shared" si="0"/>
        <v>920583.83306206332</v>
      </c>
      <c r="F8" s="185">
        <f>F9+F10+F12+F15+F16+F17+F21</f>
        <v>1415632.4886437363</v>
      </c>
      <c r="G8" s="185">
        <f>G9+G10+G12+G15+G16+G17+G21</f>
        <v>591318.2739324742</v>
      </c>
      <c r="H8" s="185">
        <f t="shared" ref="H8:J8" si="1">H9+H10+H12+H15+H16+H17+H21</f>
        <v>196017.14642533648</v>
      </c>
      <c r="I8" s="185">
        <f t="shared" si="1"/>
        <v>163572.08358313795</v>
      </c>
      <c r="J8" s="185">
        <f t="shared" si="1"/>
        <v>464724.98470278765</v>
      </c>
    </row>
    <row r="9" spans="1:13" ht="20.100000000000001" customHeight="1">
      <c r="A9" s="58" t="s">
        <v>184</v>
      </c>
      <c r="B9" s="183">
        <v>3010</v>
      </c>
      <c r="C9" s="190">
        <v>575677</v>
      </c>
      <c r="D9" s="190">
        <f>([37]Розшиф!D6+[37]Розшиф!D10)*1.2-D21-D16</f>
        <v>731537.36168419593</v>
      </c>
      <c r="E9" s="190">
        <f>[37]Розшиф!E6*1.2+[37]Розшиф!E13*1.2+[37]Розшиф!E34</f>
        <v>916604.33306206332</v>
      </c>
      <c r="F9" s="190">
        <f>SUM(G9:J9)</f>
        <v>1237933.2286437363</v>
      </c>
      <c r="G9" s="190">
        <f>[37]Розшиф!L6*1.2+[37]Розшиф!L13*1.2-G16-G21</f>
        <v>546668.45893247426</v>
      </c>
      <c r="H9" s="190">
        <f>[37]Розшиф!M6*1.2+[37]Розшиф!M13*1.2-H16-H21</f>
        <v>151667.33142533648</v>
      </c>
      <c r="I9" s="190">
        <f>[37]Розшиф!N6*1.2+[37]Розшиф!N13*1.2-I16-I21</f>
        <v>119322.26858313796</v>
      </c>
      <c r="J9" s="190">
        <f>[37]Розшиф!O6*1.2+[37]Розшиф!O13*1.2-J16-J21</f>
        <v>420275.16970278765</v>
      </c>
      <c r="K9" s="319"/>
      <c r="L9" s="319"/>
      <c r="M9" s="319"/>
    </row>
    <row r="10" spans="1:13" ht="20.100000000000001" customHeight="1">
      <c r="A10" s="58" t="s">
        <v>185</v>
      </c>
      <c r="B10" s="183">
        <v>3020</v>
      </c>
      <c r="C10" s="190"/>
      <c r="D10" s="190"/>
      <c r="E10" s="190"/>
      <c r="F10" s="190">
        <f t="shared" ref="F10:F25" si="2">SUM(G10:J10)</f>
        <v>0</v>
      </c>
      <c r="G10" s="190"/>
      <c r="H10" s="190"/>
      <c r="I10" s="190"/>
      <c r="J10" s="190"/>
      <c r="K10" s="320"/>
      <c r="L10" s="320"/>
      <c r="M10" s="320"/>
    </row>
    <row r="11" spans="1:13" ht="20.100000000000001" customHeight="1">
      <c r="A11" s="233" t="s">
        <v>186</v>
      </c>
      <c r="B11" s="183">
        <v>3030</v>
      </c>
      <c r="C11" s="190"/>
      <c r="D11" s="190"/>
      <c r="E11" s="190"/>
      <c r="F11" s="190">
        <f t="shared" si="2"/>
        <v>0</v>
      </c>
      <c r="G11" s="190"/>
      <c r="H11" s="190"/>
      <c r="I11" s="190"/>
      <c r="J11" s="190"/>
    </row>
    <row r="12" spans="1:13" ht="20.100000000000001" customHeight="1">
      <c r="A12" s="58" t="s">
        <v>187</v>
      </c>
      <c r="B12" s="183">
        <v>3040</v>
      </c>
      <c r="C12" s="190">
        <v>1547</v>
      </c>
      <c r="D12" s="190">
        <f>1550+D13</f>
        <v>1550</v>
      </c>
      <c r="E12" s="190">
        <f>D12</f>
        <v>1550</v>
      </c>
      <c r="F12" s="190">
        <f>SUM(G12:J12)</f>
        <v>175599.26</v>
      </c>
      <c r="G12" s="190">
        <f>1600/4+G13+G14</f>
        <v>43899.815000000002</v>
      </c>
      <c r="H12" s="190">
        <f t="shared" ref="H12:J12" si="3">1600/4+H13+H14</f>
        <v>43899.815000000002</v>
      </c>
      <c r="I12" s="190">
        <f t="shared" si="3"/>
        <v>43899.815000000002</v>
      </c>
      <c r="J12" s="190">
        <f t="shared" si="3"/>
        <v>43899.815000000002</v>
      </c>
    </row>
    <row r="13" spans="1:13" ht="39.75" customHeight="1">
      <c r="A13" s="233" t="s">
        <v>559</v>
      </c>
      <c r="B13" s="183">
        <v>3041</v>
      </c>
      <c r="C13" s="190"/>
      <c r="D13" s="190"/>
      <c r="E13" s="190"/>
      <c r="F13" s="190">
        <f t="shared" si="2"/>
        <v>147457</v>
      </c>
      <c r="G13" s="190">
        <f>147457/12*3</f>
        <v>36864.25</v>
      </c>
      <c r="H13" s="190">
        <f t="shared" ref="H13:J13" si="4">147457/12*3</f>
        <v>36864.25</v>
      </c>
      <c r="I13" s="190">
        <f t="shared" si="4"/>
        <v>36864.25</v>
      </c>
      <c r="J13" s="190">
        <f t="shared" si="4"/>
        <v>36864.25</v>
      </c>
    </row>
    <row r="14" spans="1:13" ht="57.75" customHeight="1">
      <c r="A14" s="233" t="s">
        <v>558</v>
      </c>
      <c r="B14" s="183">
        <v>3041</v>
      </c>
      <c r="C14" s="190"/>
      <c r="D14" s="190"/>
      <c r="E14" s="190"/>
      <c r="F14" s="190">
        <f>F13*0.18</f>
        <v>26542.26</v>
      </c>
      <c r="G14" s="190">
        <f>$F$14/4</f>
        <v>6635.5649999999996</v>
      </c>
      <c r="H14" s="190">
        <f t="shared" ref="H14:J14" si="5">$F$14/4</f>
        <v>6635.5649999999996</v>
      </c>
      <c r="I14" s="190">
        <f t="shared" si="5"/>
        <v>6635.5649999999996</v>
      </c>
      <c r="J14" s="190">
        <f t="shared" si="5"/>
        <v>6635.5649999999996</v>
      </c>
    </row>
    <row r="15" spans="1:13" ht="20.100000000000001" customHeight="1">
      <c r="A15" s="58" t="s">
        <v>190</v>
      </c>
      <c r="B15" s="183">
        <v>3042</v>
      </c>
      <c r="C15" s="190"/>
      <c r="D15" s="190"/>
      <c r="E15" s="190"/>
      <c r="F15" s="190">
        <f t="shared" si="2"/>
        <v>0</v>
      </c>
      <c r="G15" s="190"/>
      <c r="H15" s="190"/>
      <c r="I15" s="190"/>
      <c r="J15" s="190"/>
    </row>
    <row r="16" spans="1:13" ht="21.75" customHeight="1">
      <c r="A16" s="58" t="s">
        <v>188</v>
      </c>
      <c r="B16" s="183">
        <v>3050</v>
      </c>
      <c r="C16" s="190">
        <v>449</v>
      </c>
      <c r="D16" s="190">
        <v>450</v>
      </c>
      <c r="E16" s="190">
        <f>500</f>
        <v>500</v>
      </c>
      <c r="F16" s="190">
        <f t="shared" si="2"/>
        <v>600</v>
      </c>
      <c r="G16" s="190">
        <v>150</v>
      </c>
      <c r="H16" s="190">
        <v>150</v>
      </c>
      <c r="I16" s="190">
        <v>150</v>
      </c>
      <c r="J16" s="190">
        <v>150</v>
      </c>
    </row>
    <row r="17" spans="1:13" ht="21" customHeight="1">
      <c r="A17" s="58" t="s">
        <v>49</v>
      </c>
      <c r="B17" s="183">
        <v>3060</v>
      </c>
      <c r="C17" s="190">
        <f>C18+C19+C20</f>
        <v>0</v>
      </c>
      <c r="D17" s="190">
        <f t="shared" ref="D17:J17" si="6">D18+D19+D20</f>
        <v>0</v>
      </c>
      <c r="E17" s="190">
        <f t="shared" si="6"/>
        <v>0</v>
      </c>
      <c r="F17" s="190">
        <f t="shared" si="2"/>
        <v>0</v>
      </c>
      <c r="G17" s="190">
        <f t="shared" si="6"/>
        <v>0</v>
      </c>
      <c r="H17" s="190">
        <f t="shared" si="6"/>
        <v>0</v>
      </c>
      <c r="I17" s="190">
        <f t="shared" si="6"/>
        <v>0</v>
      </c>
      <c r="J17" s="190">
        <f t="shared" si="6"/>
        <v>0</v>
      </c>
    </row>
    <row r="18" spans="1:13" ht="20.100000000000001" customHeight="1">
      <c r="A18" s="233" t="s">
        <v>47</v>
      </c>
      <c r="B18" s="183">
        <v>3061</v>
      </c>
      <c r="C18" s="190"/>
      <c r="D18" s="190"/>
      <c r="E18" s="190"/>
      <c r="F18" s="190">
        <f t="shared" si="2"/>
        <v>0</v>
      </c>
      <c r="G18" s="190"/>
      <c r="H18" s="190"/>
      <c r="I18" s="190"/>
      <c r="J18" s="190"/>
    </row>
    <row r="19" spans="1:13" ht="20.100000000000001" customHeight="1">
      <c r="A19" s="233" t="s">
        <v>189</v>
      </c>
      <c r="B19" s="183">
        <v>3062</v>
      </c>
      <c r="C19" s="190"/>
      <c r="D19" s="190"/>
      <c r="E19" s="190"/>
      <c r="F19" s="190">
        <f t="shared" si="2"/>
        <v>0</v>
      </c>
      <c r="G19" s="190"/>
      <c r="H19" s="190"/>
      <c r="I19" s="190"/>
      <c r="J19" s="190"/>
    </row>
    <row r="20" spans="1:13" ht="20.100000000000001" customHeight="1">
      <c r="A20" s="233" t="s">
        <v>59</v>
      </c>
      <c r="B20" s="183">
        <v>3063</v>
      </c>
      <c r="C20" s="190"/>
      <c r="D20" s="190"/>
      <c r="E20" s="190"/>
      <c r="F20" s="190">
        <f t="shared" si="2"/>
        <v>0</v>
      </c>
      <c r="G20" s="190"/>
      <c r="H20" s="190"/>
      <c r="I20" s="190"/>
      <c r="J20" s="190"/>
    </row>
    <row r="21" spans="1:13" ht="20.100000000000001" customHeight="1">
      <c r="A21" s="58" t="s">
        <v>190</v>
      </c>
      <c r="B21" s="183">
        <v>3070</v>
      </c>
      <c r="C21" s="190">
        <f>SUM(C22:C25)</f>
        <v>2517</v>
      </c>
      <c r="D21" s="190">
        <f t="shared" ref="D21:J21" si="7">SUM(D22:D25)</f>
        <v>1600</v>
      </c>
      <c r="E21" s="190">
        <f t="shared" si="7"/>
        <v>1929.5</v>
      </c>
      <c r="F21" s="190">
        <f t="shared" si="2"/>
        <v>1500</v>
      </c>
      <c r="G21" s="190">
        <f t="shared" si="7"/>
        <v>600</v>
      </c>
      <c r="H21" s="190">
        <f t="shared" si="7"/>
        <v>300</v>
      </c>
      <c r="I21" s="190">
        <f t="shared" si="7"/>
        <v>200</v>
      </c>
      <c r="J21" s="190">
        <f t="shared" si="7"/>
        <v>400</v>
      </c>
    </row>
    <row r="22" spans="1:13" s="70" customFormat="1" ht="20.100000000000001" customHeight="1">
      <c r="A22" s="213" t="s">
        <v>490</v>
      </c>
      <c r="B22" s="212" t="s">
        <v>493</v>
      </c>
      <c r="C22" s="204">
        <v>2160</v>
      </c>
      <c r="D22" s="204">
        <v>1600</v>
      </c>
      <c r="E22" s="204">
        <f>1135+1135*0.7</f>
        <v>1929.5</v>
      </c>
      <c r="F22" s="190">
        <f t="shared" si="2"/>
        <v>1500</v>
      </c>
      <c r="G22" s="204">
        <v>600</v>
      </c>
      <c r="H22" s="204">
        <v>300</v>
      </c>
      <c r="I22" s="204">
        <v>200</v>
      </c>
      <c r="J22" s="204">
        <v>400</v>
      </c>
    </row>
    <row r="23" spans="1:13" s="70" customFormat="1" ht="20.100000000000001" customHeight="1">
      <c r="A23" s="213" t="s">
        <v>491</v>
      </c>
      <c r="B23" s="212" t="s">
        <v>494</v>
      </c>
      <c r="C23" s="204">
        <v>167</v>
      </c>
      <c r="D23" s="204"/>
      <c r="E23" s="204"/>
      <c r="F23" s="190">
        <f t="shared" si="2"/>
        <v>0</v>
      </c>
      <c r="G23" s="204"/>
      <c r="H23" s="204"/>
      <c r="I23" s="204"/>
      <c r="J23" s="204"/>
    </row>
    <row r="24" spans="1:13" s="70" customFormat="1" ht="20.100000000000001" customHeight="1">
      <c r="A24" s="213" t="s">
        <v>492</v>
      </c>
      <c r="B24" s="212" t="s">
        <v>495</v>
      </c>
      <c r="C24" s="204">
        <v>15</v>
      </c>
      <c r="D24" s="204"/>
      <c r="E24" s="204"/>
      <c r="F24" s="190">
        <f t="shared" si="2"/>
        <v>0</v>
      </c>
      <c r="G24" s="204"/>
      <c r="H24" s="204"/>
      <c r="I24" s="204"/>
      <c r="J24" s="204"/>
    </row>
    <row r="25" spans="1:13" s="70" customFormat="1" ht="20.100000000000001" customHeight="1">
      <c r="A25" s="213" t="s">
        <v>364</v>
      </c>
      <c r="B25" s="212" t="s">
        <v>496</v>
      </c>
      <c r="C25" s="204">
        <v>175</v>
      </c>
      <c r="D25" s="204"/>
      <c r="E25" s="204"/>
      <c r="F25" s="190">
        <f t="shared" si="2"/>
        <v>0</v>
      </c>
      <c r="G25" s="204"/>
      <c r="H25" s="204"/>
      <c r="I25" s="204"/>
      <c r="J25" s="204"/>
    </row>
    <row r="26" spans="1:13" ht="20.100000000000001" customHeight="1">
      <c r="A26" s="310" t="s">
        <v>191</v>
      </c>
      <c r="B26" s="57">
        <v>3100</v>
      </c>
      <c r="C26" s="188">
        <f>C27+C28+C29+C30+C34+C40+C41</f>
        <v>487897.9</v>
      </c>
      <c r="D26" s="188">
        <f t="shared" ref="D26:F26" si="8">D27+D28+D29+D30+D34+D40+D41</f>
        <v>669774.22164183692</v>
      </c>
      <c r="E26" s="188">
        <f t="shared" si="8"/>
        <v>884312.77970189136</v>
      </c>
      <c r="F26" s="188">
        <f t="shared" si="8"/>
        <v>1284665.3300702057</v>
      </c>
      <c r="G26" s="188">
        <f>G27+G28+G29+G30+G34+G40+G41</f>
        <v>523065.68457761809</v>
      </c>
      <c r="H26" s="188">
        <f>H27+H28+H29+H30+H34+H40+H41</f>
        <v>180939.246983113</v>
      </c>
      <c r="I26" s="188">
        <f>I27+I28+I29+I30+I34+I40+I41</f>
        <v>153198.91441149358</v>
      </c>
      <c r="J26" s="188">
        <f>J27+J28+J29+J30+J34+J40+J41</f>
        <v>427461.48409798101</v>
      </c>
    </row>
    <row r="27" spans="1:13" ht="18.75" customHeight="1">
      <c r="A27" s="58" t="s">
        <v>192</v>
      </c>
      <c r="B27" s="183">
        <v>3110</v>
      </c>
      <c r="C27" s="190">
        <f>346024+2883</f>
        <v>348907</v>
      </c>
      <c r="D27" s="190">
        <f>10000+78197.7-69665.4-128.9-5700+1115.3+([37]Розшиф!D37+[37]Розшиф!D38+[37]Розшиф!D39+[37]Розшиф!D40+[37]Розшиф!D41+[37]Розшиф!D44+[37]Розшиф!D45+[37]Розшиф!D47+[37]Розшиф!D67-[37]Розшиф!D75-[37]Розшиф!D76-[37]Розшиф!D77+[37]Розшиф!D101-[37]Розшиф!D104-[37]Розшиф!D105-[37]Розшиф!D112+[37]Розшиф!D139+[37]Розшиф!D140+[37]Розшиф!D141+[37]Розшиф!D142+[37]Розшиф!D145+[37]Розшиф!D146+[37]Розшиф!D147+[37]Розшиф!D148+[37]Розшиф!D150+[37]Розшиф!D153+[37]Розшиф!D166)*1.2</f>
        <v>522357.89186212671</v>
      </c>
      <c r="E27" s="220">
        <f>5000+([37]Розшиф!E36-[37]Розшиф!E42-[37]Розшиф!E43-[37]Розшиф!E46-[37]Розшиф!E52-[37]Розшиф!E54-[37]Розшиф!E60+[37]Розшиф!E67-[37]Розшиф!E75-[37]Розшиф!E76-[37]Розшиф!E77+[37]Розшиф!E101-[37]Розшиф!E104-[37]Розшиф!E105-[37]Розшиф!E106+[37]Розшиф!E139+[37]Розшиф!E140+[37]Розшиф!E141+[37]Розшиф!E142+[37]Розшиф!E145+[37]Розшиф!E146+[37]Розшиф!E147+[37]Розшиф!E148+[37]Розшиф!E149+[37]Розшиф!E150+[37]Розшиф!E153)*1.2</f>
        <v>726773.6028950949</v>
      </c>
      <c r="F27" s="190">
        <f>SUM(G27:J27)</f>
        <v>894884.94929483929</v>
      </c>
      <c r="G27" s="190">
        <f>15000+([37]Розшиф!L36-[37]Розшиф!L42-[37]Розшиф!L43-[37]Розшиф!L46-[37]Розшиф!L52-[37]Розшиф!L54-[37]Розшиф!L60-[37]Розшиф!L61+[37]Розшиф!L67-[37]Розшиф!L75-[37]Розшиф!L76-[37]Розшиф!L77-[37]Розшиф!L98-[37]Розшиф!L99+[37]Розшиф!L101-[37]Розшиф!L104-[37]Розшиф!L105-[37]Розшиф!L106+[37]Розшиф!L141+[37]Розшиф!L142+[37]Розшиф!L145+[37]Розшиф!L146+[37]Розшиф!L147+[37]Розшиф!L148+[37]Розшиф!L149+[37]Розшиф!L150+[37]Розшиф!L166)*1.2</f>
        <v>410200.04268304445</v>
      </c>
      <c r="H27" s="190">
        <f>([37]Розшиф!M36-[37]Розшиф!M42-[37]Розшиф!M43-[37]Розшиф!M46-[37]Розшиф!M52-[37]Розшиф!M54-[37]Розшиф!M60-[37]Розшиф!M61+[37]Розшиф!M67-[37]Розшиф!M75-[37]Розшиф!M76-[37]Розшиф!M77-[37]Розшиф!M98-[37]Розшиф!M99+[37]Розшиф!M101-[37]Розшиф!M104-[37]Розшиф!M105-[37]Розшиф!M106+[37]Розшиф!M141+[37]Розшиф!M142+[37]Розшиф!M145+[37]Розшиф!M146+[37]Розшиф!M147+[37]Розшиф!M148+[37]Розшиф!M149+[37]Розшиф!M150+[37]Розшиф!M166)*1.2</f>
        <v>92727.080570622988</v>
      </c>
      <c r="I27" s="190">
        <f>([37]Розшиф!N36-[37]Розшиф!N42-[37]Розшиф!N43-[37]Розшиф!N46-[37]Розшиф!N52-[37]Розшиф!N54-[37]Розшиф!N60-[37]Розшиф!N61+[37]Розшиф!N67-[37]Розшиф!N75-[37]Розшиф!N76-[37]Розшиф!N77-[37]Розшиф!N98-[37]Розшиф!N99+[37]Розшиф!N101-[37]Розшиф!N104-[37]Розшиф!N105-[37]Розшиф!N106+[37]Розшиф!N141+[37]Розшиф!N142+[37]Розшиф!N145+[37]Розшиф!N146+[37]Розшиф!N147+[37]Розшиф!N148+[37]Розшиф!N149+[37]Розшиф!N150+[37]Розшиф!N166)*1.2</f>
        <v>68087.317209584478</v>
      </c>
      <c r="J27" s="190">
        <f>20000+([37]Розшиф!O36-[37]Розшиф!O42-[37]Розшиф!O43-[37]Розшиф!O46-[37]Розшиф!O52-[37]Розшиф!O54-[37]Розшиф!O60-[37]Розшиф!O61+[37]Розшиф!O67-[37]Розшиф!O75-[37]Розшиф!O76-[37]Розшиф!O77-[37]Розшиф!O98-[37]Розшиф!O99+[37]Розшиф!O101-[37]Розшиф!O104-[37]Розшиф!O105-[37]Розшиф!O106+[37]Розшиф!O141+[37]Розшиф!O142+[37]Розшиф!O145+[37]Розшиф!O146+[37]Розшиф!O147+[37]Розшиф!O148+[37]Розшиф!O149+[37]Розшиф!O150+[37]Розшиф!O166)*1.2</f>
        <v>323870.50883158733</v>
      </c>
      <c r="K27" s="318"/>
      <c r="L27" s="318"/>
      <c r="M27" s="318"/>
    </row>
    <row r="28" spans="1:13" ht="20.100000000000001" customHeight="1">
      <c r="A28" s="58" t="s">
        <v>193</v>
      </c>
      <c r="B28" s="183">
        <v>3120</v>
      </c>
      <c r="C28" s="190">
        <v>68256</v>
      </c>
      <c r="D28" s="190">
        <f>'[38]1.Фін рез'!$F$172-D37</f>
        <v>80662.06700000001</v>
      </c>
      <c r="E28" s="190">
        <f>I.Розшифрування!E158-E37</f>
        <v>84211.612604014677</v>
      </c>
      <c r="F28" s="190">
        <f t="shared" ref="F28" si="9">SUM(G28:J28)</f>
        <v>109384.65453119999</v>
      </c>
      <c r="G28" s="190">
        <f>I.Розшифрування!G158-G37</f>
        <v>26853.700226067675</v>
      </c>
      <c r="H28" s="190">
        <f>I.Розшифрування!H158-H37</f>
        <v>27017.700226067675</v>
      </c>
      <c r="I28" s="190">
        <f>I.Розшифрування!I158-I37</f>
        <v>27182.437254667795</v>
      </c>
      <c r="J28" s="190">
        <f>I.Розшифрування!J158-J37</f>
        <v>28330.816824396854</v>
      </c>
      <c r="K28" s="319"/>
      <c r="L28" s="319"/>
      <c r="M28" s="319"/>
    </row>
    <row r="29" spans="1:13" ht="20.100000000000001" customHeight="1">
      <c r="A29" s="58" t="s">
        <v>5</v>
      </c>
      <c r="B29" s="183">
        <v>3130</v>
      </c>
      <c r="C29" s="190">
        <v>17457</v>
      </c>
      <c r="D29" s="190">
        <f>C29/C28*D28</f>
        <v>20629.947603419485</v>
      </c>
      <c r="E29" s="190">
        <f>D29/D28*E28</f>
        <v>21537.771349453298</v>
      </c>
      <c r="F29" s="190">
        <f>SUM(G29:J29)</f>
        <v>27975.971550503378</v>
      </c>
      <c r="G29" s="190">
        <f>E29/E28*G28</f>
        <v>6868.0415618621573</v>
      </c>
      <c r="H29" s="190">
        <f>G29/G28*H28</f>
        <v>6909.9858304978825</v>
      </c>
      <c r="I29" s="190">
        <f t="shared" ref="I29:J29" si="10">H29/H28*I28</f>
        <v>6952.1185998994333</v>
      </c>
      <c r="J29" s="190">
        <f t="shared" si="10"/>
        <v>7245.8255582439042</v>
      </c>
      <c r="K29" s="319"/>
      <c r="L29" s="319"/>
      <c r="M29" s="319"/>
    </row>
    <row r="30" spans="1:13" ht="20.100000000000001" customHeight="1">
      <c r="A30" s="58" t="s">
        <v>48</v>
      </c>
      <c r="B30" s="183">
        <v>3140</v>
      </c>
      <c r="C30" s="190">
        <f>C31+C32+C33</f>
        <v>0</v>
      </c>
      <c r="D30" s="190">
        <f t="shared" ref="D30:J30" si="11">D31+D32+D33</f>
        <v>0</v>
      </c>
      <c r="E30" s="190">
        <f t="shared" si="11"/>
        <v>0</v>
      </c>
      <c r="F30" s="190">
        <f t="shared" si="11"/>
        <v>0</v>
      </c>
      <c r="G30" s="190">
        <f t="shared" si="11"/>
        <v>0</v>
      </c>
      <c r="H30" s="190">
        <f t="shared" si="11"/>
        <v>0</v>
      </c>
      <c r="I30" s="190">
        <f t="shared" si="11"/>
        <v>0</v>
      </c>
      <c r="J30" s="190">
        <f t="shared" si="11"/>
        <v>0</v>
      </c>
      <c r="K30" s="319"/>
      <c r="L30" s="319"/>
      <c r="M30" s="319"/>
    </row>
    <row r="31" spans="1:13" ht="20.100000000000001" customHeight="1">
      <c r="A31" s="233" t="s">
        <v>47</v>
      </c>
      <c r="B31" s="183">
        <v>3141</v>
      </c>
      <c r="C31" s="190"/>
      <c r="D31" s="190"/>
      <c r="E31" s="190"/>
      <c r="F31" s="190"/>
      <c r="G31" s="190"/>
      <c r="H31" s="190"/>
      <c r="I31" s="190"/>
      <c r="J31" s="190"/>
      <c r="K31" s="319"/>
      <c r="L31" s="319"/>
      <c r="M31" s="319"/>
    </row>
    <row r="32" spans="1:13" ht="20.100000000000001" customHeight="1">
      <c r="A32" s="233" t="s">
        <v>189</v>
      </c>
      <c r="B32" s="183">
        <v>3142</v>
      </c>
      <c r="C32" s="190"/>
      <c r="D32" s="190"/>
      <c r="E32" s="190"/>
      <c r="F32" s="190"/>
      <c r="G32" s="190"/>
      <c r="H32" s="190"/>
      <c r="I32" s="190"/>
      <c r="J32" s="190"/>
    </row>
    <row r="33" spans="1:11" ht="20.100000000000001" customHeight="1">
      <c r="A33" s="233" t="s">
        <v>59</v>
      </c>
      <c r="B33" s="183">
        <v>3143</v>
      </c>
      <c r="C33" s="190"/>
      <c r="D33" s="190"/>
      <c r="E33" s="190"/>
      <c r="F33" s="190"/>
      <c r="G33" s="190"/>
      <c r="H33" s="190"/>
      <c r="I33" s="190"/>
      <c r="J33" s="190"/>
    </row>
    <row r="34" spans="1:11" ht="39" customHeight="1">
      <c r="A34" s="58" t="s">
        <v>194</v>
      </c>
      <c r="B34" s="183">
        <v>3150</v>
      </c>
      <c r="C34" s="190">
        <f>C35+C36+C37+C38+C39</f>
        <v>53277.899999999994</v>
      </c>
      <c r="D34" s="190">
        <f t="shared" ref="D34:J34" si="12">D35+D36+D37+D38+D39</f>
        <v>46124.315176290722</v>
      </c>
      <c r="E34" s="190">
        <f t="shared" si="12"/>
        <v>51789.792853328567</v>
      </c>
      <c r="F34" s="190">
        <f>F35+F36+F37+F38+F39</f>
        <v>96475.074693663148</v>
      </c>
      <c r="G34" s="190">
        <f>G35+G36+G37+G38+G39</f>
        <v>40157.730106643823</v>
      </c>
      <c r="H34" s="190">
        <f t="shared" si="12"/>
        <v>15298.310355924461</v>
      </c>
      <c r="I34" s="190">
        <f t="shared" si="12"/>
        <v>11990.871347341897</v>
      </c>
      <c r="J34" s="190">
        <f t="shared" si="12"/>
        <v>29028.162883752968</v>
      </c>
    </row>
    <row r="35" spans="1:11" ht="20.100000000000001" customHeight="1">
      <c r="A35" s="233" t="s">
        <v>167</v>
      </c>
      <c r="B35" s="183">
        <v>3151</v>
      </c>
      <c r="C35" s="190">
        <f>'II. Розрахунки з бюджетом'!C20</f>
        <v>0</v>
      </c>
      <c r="D35" s="190">
        <f>'II. Розрахунки з бюджетом'!D20</f>
        <v>8437</v>
      </c>
      <c r="E35" s="190">
        <f>'II. Розрахунки з бюджетом'!E20</f>
        <v>6644.1456296928363</v>
      </c>
      <c r="F35" s="232">
        <f>'II. Розрахунки з бюджетом'!F20</f>
        <v>46625.699462820296</v>
      </c>
      <c r="G35" s="232">
        <f>'II. Розрахунки з бюджетом'!G20</f>
        <v>19801.800708865419</v>
      </c>
      <c r="H35" s="232">
        <f>'II. Розрахунки з бюджетом'!H20</f>
        <v>6909.5982493124511</v>
      </c>
      <c r="I35" s="232">
        <f>'II. Розрахунки з бюджетом'!I20</f>
        <v>4852.4066160855873</v>
      </c>
      <c r="J35" s="232">
        <f>'II. Розрахунки з бюджетом'!J20</f>
        <v>15061.89388855684</v>
      </c>
    </row>
    <row r="36" spans="1:11" ht="20.100000000000001" customHeight="1">
      <c r="A36" s="233" t="s">
        <v>195</v>
      </c>
      <c r="B36" s="183">
        <v>3152</v>
      </c>
      <c r="C36" s="190">
        <f>'II. Розрахунки з бюджетом'!C21</f>
        <v>34666</v>
      </c>
      <c r="D36" s="190">
        <f>'II. Розрахунки з бюджетом'!D21</f>
        <v>17204.429454290723</v>
      </c>
      <c r="E36" s="190">
        <f>'II. Розрахунки з бюджетом'!E21</f>
        <v>23250.045416161396</v>
      </c>
      <c r="F36" s="232">
        <f>'II. Розрахунки з бюджетом'!F21</f>
        <v>21746.450879482854</v>
      </c>
      <c r="G36" s="232">
        <f>'II. Розрахунки з бюджетом'!G21</f>
        <v>13092.942014148846</v>
      </c>
      <c r="H36" s="232">
        <f>'II. Розрахунки з бюджетом'!H21</f>
        <v>1649.3765065704054</v>
      </c>
      <c r="I36" s="232">
        <f>'II. Розрахунки з бюджетом'!I21</f>
        <v>443.62398973459199</v>
      </c>
      <c r="J36" s="232">
        <f>'II. Розрахунки з бюджетом'!J21</f>
        <v>6560.5083690290121</v>
      </c>
    </row>
    <row r="37" spans="1:11" ht="20.100000000000001" customHeight="1">
      <c r="A37" s="233" t="s">
        <v>45</v>
      </c>
      <c r="B37" s="183">
        <v>3155</v>
      </c>
      <c r="C37" s="190">
        <f>'II. Розрахунки з бюджетом'!C24</f>
        <v>15411.7</v>
      </c>
      <c r="D37" s="190">
        <f>'II. Розрахунки з бюджетом'!D24</f>
        <v>17110.099999999999</v>
      </c>
      <c r="E37" s="190">
        <f>'II. Розрахунки з бюджетом'!E24</f>
        <v>18485.475937466636</v>
      </c>
      <c r="F37" s="232">
        <f>'II. Розрахунки з бюджетом'!F24</f>
        <v>24011.265628799996</v>
      </c>
      <c r="G37" s="232">
        <f>'II. Розрахунки з бюджетом'!G24</f>
        <v>5894.7146837709524</v>
      </c>
      <c r="H37" s="232">
        <f>'II. Розрахунки з бюджетом'!H24</f>
        <v>5930.7146837709524</v>
      </c>
      <c r="I37" s="232">
        <f>'II. Розрахунки з бюджетом'!I24</f>
        <v>5966.876470536833</v>
      </c>
      <c r="J37" s="232">
        <f>'II. Розрахунки з бюджетом'!J24</f>
        <v>6218.9597907212601</v>
      </c>
    </row>
    <row r="38" spans="1:11" ht="20.100000000000001" customHeight="1">
      <c r="A38" s="233" t="s">
        <v>306</v>
      </c>
      <c r="B38" s="183">
        <v>3156</v>
      </c>
      <c r="C38" s="190">
        <f>'II. Розрахунки з бюджетом'!C26</f>
        <v>2966.2</v>
      </c>
      <c r="D38" s="190">
        <f>'II. Розрахунки з бюджетом'!D26</f>
        <v>3372.7857220000001</v>
      </c>
      <c r="E38" s="190">
        <f>'II. Розрахунки з бюджетом'!E26</f>
        <v>3410.1258700076924</v>
      </c>
      <c r="F38" s="232">
        <f>'II. Розрахунки з бюджетом'!F26</f>
        <v>4091.6587225599997</v>
      </c>
      <c r="G38" s="232">
        <f>'II. Розрахунки з бюджетом'!G26</f>
        <v>1368.2726998586072</v>
      </c>
      <c r="H38" s="232">
        <f>'II. Розрахунки з бюджетом'!H26</f>
        <v>808.62091627065342</v>
      </c>
      <c r="I38" s="232">
        <f>'II. Розрахунки з бюджетом'!I26</f>
        <v>727.96427098488425</v>
      </c>
      <c r="J38" s="232">
        <f>'II. Розрахунки з бюджетом'!J26</f>
        <v>1186.8008354458552</v>
      </c>
    </row>
    <row r="39" spans="1:11" ht="20.100000000000001" customHeight="1">
      <c r="A39" s="233" t="s">
        <v>498</v>
      </c>
      <c r="B39" s="183">
        <v>3157</v>
      </c>
      <c r="C39" s="190">
        <v>234</v>
      </c>
      <c r="D39" s="190"/>
      <c r="E39" s="190"/>
      <c r="F39" s="190"/>
      <c r="G39" s="190"/>
      <c r="H39" s="190"/>
      <c r="I39" s="190"/>
      <c r="J39" s="190"/>
    </row>
    <row r="40" spans="1:11" ht="21" customHeight="1">
      <c r="A40" s="58" t="s">
        <v>196</v>
      </c>
      <c r="B40" s="183">
        <v>3160</v>
      </c>
      <c r="C40" s="190"/>
      <c r="D40" s="190"/>
      <c r="E40" s="190"/>
      <c r="F40" s="190"/>
      <c r="G40" s="190"/>
      <c r="H40" s="190"/>
      <c r="I40" s="190"/>
      <c r="J40" s="190"/>
    </row>
    <row r="41" spans="1:11" ht="38.25" customHeight="1">
      <c r="A41" s="58" t="s">
        <v>557</v>
      </c>
      <c r="B41" s="359">
        <v>3170</v>
      </c>
      <c r="C41" s="360"/>
      <c r="D41" s="360"/>
      <c r="E41" s="360"/>
      <c r="F41" s="190">
        <f>SUM(G41:J41)</f>
        <v>155944.68</v>
      </c>
      <c r="G41" s="361">
        <f>147567/12*3+698.14*3</f>
        <v>38986.17</v>
      </c>
      <c r="H41" s="361">
        <f t="shared" ref="H41:J41" si="13">147567/12*3+698.14*3</f>
        <v>38986.17</v>
      </c>
      <c r="I41" s="361">
        <f t="shared" si="13"/>
        <v>38986.17</v>
      </c>
      <c r="J41" s="361">
        <f t="shared" si="13"/>
        <v>38986.17</v>
      </c>
    </row>
    <row r="42" spans="1:11" ht="20.100000000000001" customHeight="1">
      <c r="A42" s="310" t="s">
        <v>197</v>
      </c>
      <c r="B42" s="57">
        <v>3195</v>
      </c>
      <c r="C42" s="217">
        <f>C8-C26</f>
        <v>92292.099999999977</v>
      </c>
      <c r="D42" s="217">
        <f t="shared" ref="D42:J42" si="14">D8-D26</f>
        <v>65363.140042359009</v>
      </c>
      <c r="E42" s="217">
        <f t="shared" si="14"/>
        <v>36271.053360171965</v>
      </c>
      <c r="F42" s="217">
        <f t="shared" si="14"/>
        <v>130967.15857353061</v>
      </c>
      <c r="G42" s="217">
        <f>G8-G26</f>
        <v>68252.589354856114</v>
      </c>
      <c r="H42" s="217">
        <f t="shared" si="14"/>
        <v>15077.899442223483</v>
      </c>
      <c r="I42" s="217">
        <f t="shared" si="14"/>
        <v>10373.169171644375</v>
      </c>
      <c r="J42" s="217">
        <f t="shared" si="14"/>
        <v>37263.500604806643</v>
      </c>
      <c r="K42" s="119"/>
    </row>
    <row r="43" spans="1:11" ht="32.25" customHeight="1">
      <c r="A43" s="434" t="s">
        <v>198</v>
      </c>
      <c r="B43" s="434"/>
      <c r="C43" s="434"/>
      <c r="D43" s="434"/>
      <c r="E43" s="434"/>
      <c r="F43" s="434"/>
      <c r="G43" s="434"/>
      <c r="H43" s="434"/>
      <c r="I43" s="434"/>
      <c r="J43" s="434"/>
    </row>
    <row r="44" spans="1:11" ht="20.100000000000001" customHeight="1">
      <c r="A44" s="310" t="s">
        <v>199</v>
      </c>
      <c r="B44" s="57">
        <v>3200</v>
      </c>
      <c r="C44" s="206">
        <f>C45+C47+C48+C49+C50+C51</f>
        <v>0</v>
      </c>
      <c r="D44" s="206">
        <f t="shared" ref="D44:J44" si="15">D45+D47+D48+D49+D50+D51</f>
        <v>0</v>
      </c>
      <c r="E44" s="206">
        <f t="shared" si="15"/>
        <v>0</v>
      </c>
      <c r="F44" s="206">
        <f t="shared" si="15"/>
        <v>0</v>
      </c>
      <c r="G44" s="206">
        <f t="shared" si="15"/>
        <v>0</v>
      </c>
      <c r="H44" s="206">
        <f t="shared" si="15"/>
        <v>0</v>
      </c>
      <c r="I44" s="206">
        <f t="shared" si="15"/>
        <v>0</v>
      </c>
      <c r="J44" s="206">
        <f t="shared" si="15"/>
        <v>0</v>
      </c>
    </row>
    <row r="45" spans="1:11" ht="20.100000000000001" customHeight="1">
      <c r="A45" s="58" t="s">
        <v>200</v>
      </c>
      <c r="B45" s="183">
        <v>3210</v>
      </c>
      <c r="C45" s="208"/>
      <c r="D45" s="208"/>
      <c r="E45" s="208"/>
      <c r="F45" s="208"/>
      <c r="G45" s="208"/>
      <c r="H45" s="208"/>
      <c r="I45" s="208"/>
      <c r="J45" s="208"/>
    </row>
    <row r="46" spans="1:11" ht="20.100000000000001" customHeight="1">
      <c r="A46" s="233" t="s">
        <v>201</v>
      </c>
      <c r="B46" s="183">
        <v>3215</v>
      </c>
      <c r="C46" s="208"/>
      <c r="D46" s="208"/>
      <c r="E46" s="208"/>
      <c r="F46" s="208"/>
      <c r="G46" s="208"/>
      <c r="H46" s="208"/>
      <c r="I46" s="208"/>
      <c r="J46" s="208"/>
    </row>
    <row r="47" spans="1:11" ht="20.100000000000001" customHeight="1">
      <c r="A47" s="58" t="s">
        <v>202</v>
      </c>
      <c r="B47" s="183">
        <v>3220</v>
      </c>
      <c r="C47" s="208"/>
      <c r="D47" s="208"/>
      <c r="E47" s="208"/>
      <c r="F47" s="208"/>
      <c r="G47" s="208"/>
      <c r="H47" s="208"/>
      <c r="I47" s="208"/>
      <c r="J47" s="208"/>
    </row>
    <row r="48" spans="1:11" ht="20.100000000000001" customHeight="1">
      <c r="A48" s="58" t="s">
        <v>203</v>
      </c>
      <c r="B48" s="183">
        <v>3225</v>
      </c>
      <c r="C48" s="208"/>
      <c r="D48" s="208"/>
      <c r="E48" s="208"/>
      <c r="F48" s="208"/>
      <c r="G48" s="208"/>
      <c r="H48" s="208"/>
      <c r="I48" s="208"/>
      <c r="J48" s="208"/>
    </row>
    <row r="49" spans="1:10" ht="20.100000000000001" customHeight="1">
      <c r="A49" s="58" t="s">
        <v>204</v>
      </c>
      <c r="B49" s="183">
        <v>3230</v>
      </c>
      <c r="C49" s="208"/>
      <c r="D49" s="208"/>
      <c r="E49" s="208"/>
      <c r="F49" s="208"/>
      <c r="G49" s="208"/>
      <c r="H49" s="208"/>
      <c r="I49" s="208"/>
      <c r="J49" s="208"/>
    </row>
    <row r="50" spans="1:10" s="178" customFormat="1" ht="20.100000000000001" customHeight="1">
      <c r="A50" s="89" t="s">
        <v>68</v>
      </c>
      <c r="B50" s="311">
        <v>3235</v>
      </c>
      <c r="C50" s="214"/>
      <c r="D50" s="214"/>
      <c r="E50" s="214"/>
      <c r="F50" s="214"/>
      <c r="G50" s="214"/>
      <c r="H50" s="214"/>
      <c r="I50" s="214"/>
      <c r="J50" s="214"/>
    </row>
    <row r="51" spans="1:10" s="178" customFormat="1" ht="20.100000000000001" customHeight="1">
      <c r="A51" s="89" t="s">
        <v>499</v>
      </c>
      <c r="B51" s="311">
        <v>3240</v>
      </c>
      <c r="C51" s="214"/>
      <c r="D51" s="214"/>
      <c r="E51" s="214"/>
      <c r="F51" s="214"/>
      <c r="G51" s="214"/>
      <c r="H51" s="214"/>
      <c r="I51" s="214"/>
      <c r="J51" s="214"/>
    </row>
    <row r="52" spans="1:10" s="178" customFormat="1" ht="20.100000000000001" customHeight="1">
      <c r="A52" s="174" t="s">
        <v>205</v>
      </c>
      <c r="B52" s="175">
        <v>3255</v>
      </c>
      <c r="C52" s="215">
        <f>C53+C55+C63+C64</f>
        <v>14396.041979999998</v>
      </c>
      <c r="D52" s="215">
        <f>D53+D55+D63+D64</f>
        <v>86584.14549000001</v>
      </c>
      <c r="E52" s="215">
        <f t="shared" ref="E52:J52" si="16">E53+E55+E63+E64</f>
        <v>50330.457670000003</v>
      </c>
      <c r="F52" s="215">
        <f t="shared" si="16"/>
        <v>57224.894071999996</v>
      </c>
      <c r="G52" s="215">
        <f t="shared" si="16"/>
        <v>19074.594164536764</v>
      </c>
      <c r="H52" s="215">
        <f t="shared" si="16"/>
        <v>10207.821815291052</v>
      </c>
      <c r="I52" s="215">
        <f t="shared" si="16"/>
        <v>9737.0374351459322</v>
      </c>
      <c r="J52" s="215">
        <f t="shared" si="16"/>
        <v>18205.440657026251</v>
      </c>
    </row>
    <row r="53" spans="1:10" s="178" customFormat="1" ht="20.100000000000001" customHeight="1">
      <c r="A53" s="89" t="s">
        <v>206</v>
      </c>
      <c r="B53" s="311">
        <v>3260</v>
      </c>
      <c r="C53" s="214"/>
      <c r="D53" s="214"/>
      <c r="E53" s="214"/>
      <c r="F53" s="214"/>
      <c r="G53" s="214"/>
      <c r="H53" s="214"/>
      <c r="I53" s="214"/>
      <c r="J53" s="214"/>
    </row>
    <row r="54" spans="1:10" s="178" customFormat="1" ht="24" customHeight="1">
      <c r="A54" s="236" t="s">
        <v>207</v>
      </c>
      <c r="B54" s="311">
        <v>3265</v>
      </c>
      <c r="C54" s="214"/>
      <c r="D54" s="214"/>
      <c r="E54" s="214"/>
      <c r="F54" s="214"/>
      <c r="G54" s="214"/>
      <c r="H54" s="214"/>
      <c r="I54" s="214"/>
      <c r="J54" s="214"/>
    </row>
    <row r="55" spans="1:10" s="12" customFormat="1" ht="20.100000000000001" customHeight="1">
      <c r="A55" s="310" t="s">
        <v>208</v>
      </c>
      <c r="B55" s="57">
        <v>3270</v>
      </c>
      <c r="C55" s="206">
        <f>C56+C57+C61+C62</f>
        <v>14396.041979999998</v>
      </c>
      <c r="D55" s="206">
        <f>D56+D57+D61+D62</f>
        <v>86584.14549000001</v>
      </c>
      <c r="E55" s="206">
        <f t="shared" ref="E55:J55" si="17">E56+E57+E61+E62</f>
        <v>50330.457670000003</v>
      </c>
      <c r="F55" s="206">
        <f t="shared" si="17"/>
        <v>57224.894071999996</v>
      </c>
      <c r="G55" s="206">
        <f t="shared" si="17"/>
        <v>19074.594164536764</v>
      </c>
      <c r="H55" s="206">
        <f t="shared" si="17"/>
        <v>10207.821815291052</v>
      </c>
      <c r="I55" s="206">
        <f t="shared" si="17"/>
        <v>9737.0374351459322</v>
      </c>
      <c r="J55" s="206">
        <f t="shared" si="17"/>
        <v>18205.440657026251</v>
      </c>
    </row>
    <row r="56" spans="1:10" s="12" customFormat="1" ht="20.100000000000001" customHeight="1">
      <c r="A56" s="233" t="s">
        <v>209</v>
      </c>
      <c r="B56" s="183">
        <v>3271</v>
      </c>
      <c r="C56" s="214">
        <f>3415.484*1.2+1302.185*1.2+637.48665*1.2+599.965*1.2+14396-13428.6</f>
        <v>8113.5447799999984</v>
      </c>
      <c r="D56" s="208">
        <f>5810.4-D82</f>
        <v>4500.0454899999995</v>
      </c>
      <c r="E56" s="208">
        <f>'IV. Кап. інвестиції'!E11-E82</f>
        <v>12612.458069999999</v>
      </c>
      <c r="F56" s="208">
        <f>SUM(G56:J56)</f>
        <v>7354</v>
      </c>
      <c r="G56" s="208">
        <f>'IV. Кап. інвестиції'!G11-G82</f>
        <v>1838.5</v>
      </c>
      <c r="H56" s="208">
        <f>'IV. Кап. інвестиції'!H11-H82</f>
        <v>1838.4999999999998</v>
      </c>
      <c r="I56" s="208">
        <f>'IV. Кап. інвестиції'!I11-I82</f>
        <v>1838.4999999999998</v>
      </c>
      <c r="J56" s="208">
        <f>'IV. Кап. інвестиції'!J11-J82</f>
        <v>1838.5000000000002</v>
      </c>
    </row>
    <row r="57" spans="1:10" s="307" customFormat="1" ht="20.100000000000001" customHeight="1">
      <c r="A57" s="233" t="s">
        <v>210</v>
      </c>
      <c r="B57" s="183">
        <v>3272</v>
      </c>
      <c r="C57" s="208">
        <f>4094.176*1.2</f>
        <v>4913.0111999999999</v>
      </c>
      <c r="D57" s="208">
        <f>D58+D59+D60</f>
        <v>81684.100000000006</v>
      </c>
      <c r="E57" s="208">
        <f>E58+E59+E60</f>
        <v>36727.1996</v>
      </c>
      <c r="F57" s="208">
        <f t="shared" ref="F57:F62" si="18">SUM(G57:J57)</f>
        <v>48880.894071999996</v>
      </c>
      <c r="G57" s="208">
        <f>G58+G59+G60</f>
        <v>16988.594164536764</v>
      </c>
      <c r="H57" s="208">
        <f t="shared" ref="H57:J57" si="19">H58+H59+H60</f>
        <v>8121.8218152910522</v>
      </c>
      <c r="I57" s="208">
        <f t="shared" si="19"/>
        <v>7651.0374351459322</v>
      </c>
      <c r="J57" s="208">
        <f t="shared" si="19"/>
        <v>16119.440657026251</v>
      </c>
    </row>
    <row r="58" spans="1:10" s="307" customFormat="1" ht="20.100000000000001" customHeight="1">
      <c r="A58" s="231" t="s">
        <v>502</v>
      </c>
      <c r="B58" s="183"/>
      <c r="C58" s="208"/>
      <c r="D58" s="208">
        <f>'[38]5. Інш інфор2'!$O$22</f>
        <v>39400</v>
      </c>
      <c r="E58" s="208">
        <f>'IV. Кап. інвестиції'!E32</f>
        <v>24464.04</v>
      </c>
      <c r="F58" s="208">
        <f t="shared" si="18"/>
        <v>35655.894072000003</v>
      </c>
      <c r="G58" s="208">
        <f>'VI. Інформація до фінплану2'!X16</f>
        <v>15988.594164536764</v>
      </c>
      <c r="H58" s="208">
        <f>'VI. Інформація до фінплану2'!Y16</f>
        <v>4213.4884819577182</v>
      </c>
      <c r="I58" s="208">
        <f>'VI. Інформація до фінплану2'!Z16</f>
        <v>3242.7041018125988</v>
      </c>
      <c r="J58" s="208">
        <f>'VI. Інформація до фінплану2'!AA16</f>
        <v>12211.107323692917</v>
      </c>
    </row>
    <row r="59" spans="1:10" s="307" customFormat="1" ht="20.100000000000001" customHeight="1">
      <c r="A59" s="213" t="s">
        <v>503</v>
      </c>
      <c r="B59" s="183"/>
      <c r="C59" s="208">
        <f>C57-C60</f>
        <v>2947.7691999999997</v>
      </c>
      <c r="D59" s="208">
        <f>'[38]5. Інш інфор2'!$O$30</f>
        <v>6470.1</v>
      </c>
      <c r="E59" s="208">
        <f>'IV. Кап. інвестиції'!E14+'IV. Кап. інвестиції'!E15-E58-E60</f>
        <v>5387.2595999999994</v>
      </c>
      <c r="F59" s="208">
        <f t="shared" si="18"/>
        <v>6000</v>
      </c>
      <c r="G59" s="208">
        <f>'VI. Інформація до фінплану2'!N25</f>
        <v>1000</v>
      </c>
      <c r="H59" s="208">
        <f>'VI. Інформація до фінплану2'!O25</f>
        <v>1500</v>
      </c>
      <c r="I59" s="208">
        <f>'VI. Інформація до фінплану2'!P25</f>
        <v>2000</v>
      </c>
      <c r="J59" s="208">
        <f>'VI. Інформація до фінплану2'!Q25</f>
        <v>1500</v>
      </c>
    </row>
    <row r="60" spans="1:10" s="307" customFormat="1" ht="34.5" customHeight="1">
      <c r="A60" s="213" t="s">
        <v>515</v>
      </c>
      <c r="B60" s="183"/>
      <c r="C60" s="208">
        <f>2181.242-216</f>
        <v>1965.2420000000002</v>
      </c>
      <c r="D60" s="208">
        <v>35814</v>
      </c>
      <c r="E60" s="208">
        <v>6875.9</v>
      </c>
      <c r="F60" s="208">
        <f t="shared" si="18"/>
        <v>7225</v>
      </c>
      <c r="G60" s="208">
        <f>'VI. Інформація до фінплану2'!I27</f>
        <v>0</v>
      </c>
      <c r="H60" s="208">
        <f>'VI. Інформація до фінплану2'!J27</f>
        <v>2408.3333333333335</v>
      </c>
      <c r="I60" s="208">
        <f>'VI. Інформація до фінплану2'!K27</f>
        <v>2408.3333333333335</v>
      </c>
      <c r="J60" s="208">
        <f>'VI. Інформація до фінплану2'!L27</f>
        <v>2408.3333333333335</v>
      </c>
    </row>
    <row r="61" spans="1:10" ht="20.100000000000001" customHeight="1">
      <c r="A61" s="233" t="s">
        <v>211</v>
      </c>
      <c r="B61" s="183">
        <v>3273</v>
      </c>
      <c r="C61" s="208">
        <v>7.1619999999999999</v>
      </c>
      <c r="D61" s="208"/>
      <c r="E61" s="208"/>
      <c r="F61" s="208">
        <f>SUM(G61:J61)</f>
        <v>0</v>
      </c>
      <c r="G61" s="208"/>
      <c r="H61" s="208"/>
      <c r="I61" s="208"/>
      <c r="J61" s="208"/>
    </row>
    <row r="62" spans="1:10">
      <c r="A62" s="233" t="s">
        <v>212</v>
      </c>
      <c r="B62" s="183">
        <v>3274</v>
      </c>
      <c r="C62" s="208">
        <f>1095.4*1.2+39.87*1.2</f>
        <v>1362.3240000000001</v>
      </c>
      <c r="D62" s="208">
        <v>400</v>
      </c>
      <c r="E62" s="208">
        <f>'IV. Кап. інвестиції'!E12</f>
        <v>990.8</v>
      </c>
      <c r="F62" s="208">
        <f t="shared" si="18"/>
        <v>990</v>
      </c>
      <c r="G62" s="208">
        <f>'VI. Інформація до фінплану2'!X13</f>
        <v>247.5</v>
      </c>
      <c r="H62" s="208">
        <f>'VI. Інформація до фінплану2'!Y13</f>
        <v>247.5</v>
      </c>
      <c r="I62" s="208">
        <f>'VI. Інформація до фінплану2'!Z13</f>
        <v>247.5</v>
      </c>
      <c r="J62" s="208">
        <f>'VI. Інформація до фінплану2'!AA13</f>
        <v>247.5</v>
      </c>
    </row>
    <row r="63" spans="1:10">
      <c r="A63" s="58" t="s">
        <v>213</v>
      </c>
      <c r="B63" s="183">
        <v>3280</v>
      </c>
      <c r="C63" s="208"/>
      <c r="D63" s="208"/>
      <c r="E63" s="208"/>
      <c r="F63" s="208"/>
      <c r="G63" s="208"/>
      <c r="H63" s="208"/>
      <c r="I63" s="208"/>
      <c r="J63" s="208"/>
    </row>
    <row r="64" spans="1:10">
      <c r="A64" s="58" t="s">
        <v>214</v>
      </c>
      <c r="B64" s="183">
        <v>3290</v>
      </c>
      <c r="C64" s="208"/>
      <c r="D64" s="208"/>
      <c r="E64" s="208"/>
      <c r="F64" s="208"/>
      <c r="G64" s="208"/>
      <c r="H64" s="208"/>
      <c r="I64" s="208"/>
      <c r="J64" s="208"/>
    </row>
    <row r="65" spans="1:10">
      <c r="A65" s="310" t="s">
        <v>215</v>
      </c>
      <c r="B65" s="78">
        <v>3295</v>
      </c>
      <c r="C65" s="216">
        <f>C44-C52</f>
        <v>-14396.041979999998</v>
      </c>
      <c r="D65" s="216">
        <f t="shared" ref="D65:J65" si="20">D44-D52</f>
        <v>-86584.14549000001</v>
      </c>
      <c r="E65" s="216">
        <f t="shared" si="20"/>
        <v>-50330.457670000003</v>
      </c>
      <c r="F65" s="216">
        <f t="shared" si="20"/>
        <v>-57224.894071999996</v>
      </c>
      <c r="G65" s="216">
        <f t="shared" si="20"/>
        <v>-19074.594164536764</v>
      </c>
      <c r="H65" s="216">
        <f t="shared" si="20"/>
        <v>-10207.821815291052</v>
      </c>
      <c r="I65" s="216">
        <f t="shared" si="20"/>
        <v>-9737.0374351459322</v>
      </c>
      <c r="J65" s="216">
        <f t="shared" si="20"/>
        <v>-18205.440657026251</v>
      </c>
    </row>
    <row r="66" spans="1:10" ht="26.25" customHeight="1">
      <c r="A66" s="434" t="s">
        <v>216</v>
      </c>
      <c r="B66" s="434"/>
      <c r="C66" s="434"/>
      <c r="D66" s="434"/>
      <c r="E66" s="434"/>
      <c r="F66" s="434"/>
      <c r="G66" s="434"/>
      <c r="H66" s="434"/>
      <c r="I66" s="434"/>
      <c r="J66" s="434"/>
    </row>
    <row r="67" spans="1:10">
      <c r="A67" s="310" t="s">
        <v>217</v>
      </c>
      <c r="B67" s="57">
        <v>3300</v>
      </c>
      <c r="C67" s="206">
        <f t="shared" ref="C67:J67" si="21">C68+C69+C73</f>
        <v>5181</v>
      </c>
      <c r="D67" s="206">
        <f t="shared" si="21"/>
        <v>65913.3</v>
      </c>
      <c r="E67" s="206">
        <f t="shared" si="21"/>
        <v>42752.486489999996</v>
      </c>
      <c r="F67" s="206">
        <f t="shared" si="21"/>
        <v>15925.000000000002</v>
      </c>
      <c r="G67" s="206">
        <f t="shared" si="21"/>
        <v>3000</v>
      </c>
      <c r="H67" s="206">
        <f t="shared" si="21"/>
        <v>2408.3333333333335</v>
      </c>
      <c r="I67" s="206">
        <f t="shared" si="21"/>
        <v>8108.3333333333339</v>
      </c>
      <c r="J67" s="206">
        <f t="shared" si="21"/>
        <v>2408.3333333333335</v>
      </c>
    </row>
    <row r="68" spans="1:10">
      <c r="A68" s="58" t="s">
        <v>218</v>
      </c>
      <c r="B68" s="183">
        <v>3305</v>
      </c>
      <c r="C68" s="208">
        <v>2181</v>
      </c>
      <c r="D68" s="208">
        <f>'[38]5. Інш інфор2'!$J$7</f>
        <v>35814</v>
      </c>
      <c r="E68" s="208">
        <f>'IV. Кап. інвестиції'!E31</f>
        <v>12653.18649</v>
      </c>
      <c r="F68" s="208">
        <f>SUM(G68:J68)</f>
        <v>10225.000000000002</v>
      </c>
      <c r="G68" s="208">
        <f>'VI. Інформація до фінплану2'!I28</f>
        <v>3000</v>
      </c>
      <c r="H68" s="208">
        <f>'VI. Інформація до фінплану2'!J28</f>
        <v>2408.3333333333335</v>
      </c>
      <c r="I68" s="208">
        <f>'VI. Інформація до фінплану2'!K28</f>
        <v>2408.3333333333335</v>
      </c>
      <c r="J68" s="208">
        <f>'VI. Інформація до фінплану2'!L28</f>
        <v>2408.3333333333335</v>
      </c>
    </row>
    <row r="69" spans="1:10" ht="23.25" customHeight="1">
      <c r="A69" s="58" t="s">
        <v>219</v>
      </c>
      <c r="B69" s="183">
        <v>3310</v>
      </c>
      <c r="C69" s="208">
        <f>C70+C71+C72</f>
        <v>3000</v>
      </c>
      <c r="D69" s="208">
        <f>D70+D71+D72</f>
        <v>5700</v>
      </c>
      <c r="E69" s="208">
        <f>E70+E71+E72</f>
        <v>5700</v>
      </c>
      <c r="F69" s="208">
        <f t="shared" ref="F69:F73" si="22">SUM(G69:J69)</f>
        <v>5700</v>
      </c>
      <c r="G69" s="208">
        <f>G70+G71+G72</f>
        <v>0</v>
      </c>
      <c r="H69" s="208">
        <f>H70+H71+H72</f>
        <v>0</v>
      </c>
      <c r="I69" s="208">
        <f>I70+I71+I72</f>
        <v>5700</v>
      </c>
      <c r="J69" s="208">
        <f>J70+J71+J72</f>
        <v>0</v>
      </c>
    </row>
    <row r="70" spans="1:10">
      <c r="A70" s="233" t="s">
        <v>47</v>
      </c>
      <c r="B70" s="183">
        <v>3311</v>
      </c>
      <c r="C70" s="208">
        <v>3000</v>
      </c>
      <c r="D70" s="208">
        <v>5700</v>
      </c>
      <c r="E70" s="208">
        <v>5700</v>
      </c>
      <c r="F70" s="208">
        <f>SUM(G70:J70)</f>
        <v>5700</v>
      </c>
      <c r="G70" s="208"/>
      <c r="H70" s="208"/>
      <c r="I70" s="208">
        <v>5700</v>
      </c>
      <c r="J70" s="208"/>
    </row>
    <row r="71" spans="1:10">
      <c r="A71" s="233" t="s">
        <v>189</v>
      </c>
      <c r="B71" s="183">
        <v>3312</v>
      </c>
      <c r="C71" s="208"/>
      <c r="D71" s="208"/>
      <c r="E71" s="208"/>
      <c r="F71" s="208">
        <f t="shared" si="22"/>
        <v>0</v>
      </c>
      <c r="G71" s="208"/>
      <c r="H71" s="208"/>
      <c r="I71" s="208"/>
      <c r="J71" s="208"/>
    </row>
    <row r="72" spans="1:10">
      <c r="A72" s="233" t="s">
        <v>59</v>
      </c>
      <c r="B72" s="183">
        <v>3313</v>
      </c>
      <c r="C72" s="208"/>
      <c r="D72" s="208"/>
      <c r="E72" s="208"/>
      <c r="F72" s="208">
        <f t="shared" si="22"/>
        <v>0</v>
      </c>
      <c r="G72" s="208"/>
      <c r="H72" s="208"/>
      <c r="I72" s="208"/>
      <c r="J72" s="208"/>
    </row>
    <row r="73" spans="1:10">
      <c r="A73" s="58" t="s">
        <v>500</v>
      </c>
      <c r="B73" s="183">
        <v>3320</v>
      </c>
      <c r="C73" s="208"/>
      <c r="D73" s="208">
        <v>24399.3</v>
      </c>
      <c r="E73" s="208">
        <f>D73</f>
        <v>24399.3</v>
      </c>
      <c r="F73" s="208">
        <f t="shared" si="22"/>
        <v>0</v>
      </c>
      <c r="G73" s="208"/>
      <c r="H73" s="208"/>
      <c r="I73" s="208"/>
      <c r="J73" s="208"/>
    </row>
    <row r="74" spans="1:10">
      <c r="A74" s="310" t="s">
        <v>220</v>
      </c>
      <c r="B74" s="57">
        <v>3330</v>
      </c>
      <c r="C74" s="206">
        <f>C75+C76+C80+C81+C82+C83</f>
        <v>37331</v>
      </c>
      <c r="D74" s="206">
        <f>D75+D76+D80+D81+D82+D83</f>
        <v>67310.010059952489</v>
      </c>
      <c r="E74" s="206">
        <f t="shared" ref="E74:J74" si="23">E75+E76+E80+E81+E82+E83</f>
        <v>74794.197479952491</v>
      </c>
      <c r="F74" s="206">
        <f t="shared" si="23"/>
        <v>54466.962844744005</v>
      </c>
      <c r="G74" s="206">
        <f>G75+G76+G80+G81+G82+G83</f>
        <v>29698.672697356</v>
      </c>
      <c r="H74" s="206">
        <f t="shared" si="23"/>
        <v>2168.5024786666668</v>
      </c>
      <c r="I74" s="206">
        <f t="shared" si="23"/>
        <v>20577.316260887997</v>
      </c>
      <c r="J74" s="206">
        <f t="shared" si="23"/>
        <v>2022.4714078333334</v>
      </c>
    </row>
    <row r="75" spans="1:10">
      <c r="A75" s="58" t="s">
        <v>221</v>
      </c>
      <c r="B75" s="183">
        <v>3335</v>
      </c>
      <c r="C75" s="208"/>
      <c r="D75" s="208"/>
      <c r="E75" s="208"/>
      <c r="F75" s="208"/>
      <c r="G75" s="208"/>
      <c r="H75" s="208"/>
      <c r="I75" s="208"/>
      <c r="J75" s="208"/>
    </row>
    <row r="76" spans="1:10" ht="20.25" customHeight="1">
      <c r="A76" s="58" t="s">
        <v>222</v>
      </c>
      <c r="B76" s="183">
        <v>3340</v>
      </c>
      <c r="C76" s="208">
        <f>C77+C78+C79</f>
        <v>24107</v>
      </c>
      <c r="D76" s="208">
        <f t="shared" ref="D76:J76" si="24">D77+D78+D79</f>
        <v>30339.1</v>
      </c>
      <c r="E76" s="208">
        <f t="shared" si="24"/>
        <v>30339.1</v>
      </c>
      <c r="F76" s="208">
        <f>F77+F78+F79</f>
        <v>33475.525513752</v>
      </c>
      <c r="G76" s="208">
        <f t="shared" si="24"/>
        <v>19587.762756876</v>
      </c>
      <c r="H76" s="208">
        <f t="shared" si="24"/>
        <v>0</v>
      </c>
      <c r="I76" s="208">
        <f t="shared" si="24"/>
        <v>13887.762756875998</v>
      </c>
      <c r="J76" s="208">
        <f t="shared" si="24"/>
        <v>0</v>
      </c>
    </row>
    <row r="77" spans="1:10">
      <c r="A77" s="233" t="s">
        <v>536</v>
      </c>
      <c r="B77" s="183">
        <v>3341</v>
      </c>
      <c r="C77" s="214">
        <f>24107</f>
        <v>24107</v>
      </c>
      <c r="D77" s="208">
        <f>24639.1+5700</f>
        <v>30339.1</v>
      </c>
      <c r="E77" s="208">
        <f>D77</f>
        <v>30339.1</v>
      </c>
      <c r="F77" s="208">
        <f t="shared" ref="F77:F83" si="25">SUM(G77:J77)</f>
        <v>33475.525513752</v>
      </c>
      <c r="G77" s="208">
        <f>391.09662*[37]Розшиф!$J$155+5700</f>
        <v>19587.762756876</v>
      </c>
      <c r="H77" s="208"/>
      <c r="I77" s="208">
        <f>391.09662*[37]Розшиф!$J$155</f>
        <v>13887.762756875998</v>
      </c>
      <c r="J77" s="208"/>
    </row>
    <row r="78" spans="1:10">
      <c r="A78" s="233" t="s">
        <v>189</v>
      </c>
      <c r="B78" s="183">
        <v>3342</v>
      </c>
      <c r="C78" s="208"/>
      <c r="D78" s="208"/>
      <c r="E78" s="208"/>
      <c r="F78" s="208">
        <f t="shared" si="25"/>
        <v>0</v>
      </c>
      <c r="G78" s="208"/>
      <c r="H78" s="208"/>
      <c r="I78" s="208"/>
      <c r="J78" s="208"/>
    </row>
    <row r="79" spans="1:10">
      <c r="A79" s="233" t="s">
        <v>59</v>
      </c>
      <c r="B79" s="183">
        <v>3343</v>
      </c>
      <c r="C79" s="208"/>
      <c r="D79" s="208"/>
      <c r="E79" s="208"/>
      <c r="F79" s="208">
        <f t="shared" si="25"/>
        <v>0</v>
      </c>
      <c r="G79" s="208"/>
      <c r="H79" s="208"/>
      <c r="I79" s="208"/>
      <c r="J79" s="208"/>
    </row>
    <row r="80" spans="1:10">
      <c r="A80" s="58" t="s">
        <v>223</v>
      </c>
      <c r="B80" s="183">
        <v>3350</v>
      </c>
      <c r="C80" s="208"/>
      <c r="D80" s="208"/>
      <c r="E80" s="208"/>
      <c r="F80" s="208">
        <f t="shared" si="25"/>
        <v>0</v>
      </c>
      <c r="G80" s="208"/>
      <c r="H80" s="208"/>
      <c r="I80" s="208"/>
      <c r="J80" s="208"/>
    </row>
    <row r="81" spans="1:10">
      <c r="A81" s="58" t="s">
        <v>224</v>
      </c>
      <c r="B81" s="183">
        <v>3360</v>
      </c>
      <c r="C81" s="208">
        <v>7557</v>
      </c>
      <c r="D81" s="208">
        <f>[37]Розшиф!D154</f>
        <v>11261.255549952499</v>
      </c>
      <c r="E81" s="208">
        <f>D81</f>
        <v>11261.255549952499</v>
      </c>
      <c r="F81" s="208">
        <f t="shared" si="25"/>
        <v>12067.183750992001</v>
      </c>
      <c r="G81" s="208">
        <f>[37]Розшиф!L154</f>
        <v>5572.9051404799993</v>
      </c>
      <c r="H81" s="208">
        <f>[37]Розшиф!M154</f>
        <v>548.5957186666667</v>
      </c>
      <c r="I81" s="208">
        <f>[37]Розшиф!N154</f>
        <v>5306.8037840119996</v>
      </c>
      <c r="J81" s="208">
        <f>[37]Розшиф!O154</f>
        <v>638.87910783333336</v>
      </c>
    </row>
    <row r="82" spans="1:10">
      <c r="A82" s="58" t="s">
        <v>568</v>
      </c>
      <c r="B82" s="183">
        <v>3370</v>
      </c>
      <c r="C82" s="208">
        <v>5667</v>
      </c>
      <c r="D82" s="208">
        <f>'[38]5. Інш інфор2'!$O$32</f>
        <v>1310.3545099999999</v>
      </c>
      <c r="E82" s="208">
        <f>[40]свод!$J$24/1000</f>
        <v>8794.5419300000012</v>
      </c>
      <c r="F82" s="208">
        <f t="shared" si="25"/>
        <v>8924.2535800000005</v>
      </c>
      <c r="G82" s="208">
        <f>'VI. Інформація до фінплану2'!X10+'VI. Інформація до фінплану2'!X12</f>
        <v>4538.0048000000006</v>
      </c>
      <c r="H82" s="208">
        <f>'VI. Інформація до фінплану2'!Y10+'VI. Інформація до фінплану2'!Y12</f>
        <v>1619.9067600000001</v>
      </c>
      <c r="I82" s="208">
        <f>'VI. Інформація до фінплану2'!Z10+'VI. Інформація до фінплану2'!Z12</f>
        <v>1382.74972</v>
      </c>
      <c r="J82" s="208">
        <f>'VI. Інформація до фінплану2'!AA10+'VI. Інформація до фінплану2'!AA12</f>
        <v>1383.5923</v>
      </c>
    </row>
    <row r="83" spans="1:10">
      <c r="A83" s="58" t="s">
        <v>501</v>
      </c>
      <c r="B83" s="183">
        <v>3380</v>
      </c>
      <c r="C83" s="208"/>
      <c r="D83" s="208">
        <v>24399.3</v>
      </c>
      <c r="E83" s="208">
        <f>D83</f>
        <v>24399.3</v>
      </c>
      <c r="F83" s="208">
        <f t="shared" si="25"/>
        <v>0</v>
      </c>
      <c r="G83" s="208"/>
      <c r="H83" s="208"/>
      <c r="I83" s="208"/>
      <c r="J83" s="208"/>
    </row>
    <row r="84" spans="1:10" ht="24.75" customHeight="1">
      <c r="A84" s="174" t="s">
        <v>225</v>
      </c>
      <c r="B84" s="175">
        <v>3395</v>
      </c>
      <c r="C84" s="215">
        <f t="shared" ref="C84:J84" si="26">C67-C74</f>
        <v>-32150</v>
      </c>
      <c r="D84" s="215">
        <f t="shared" si="26"/>
        <v>-1396.7100599524856</v>
      </c>
      <c r="E84" s="215">
        <f t="shared" si="26"/>
        <v>-32041.710989952495</v>
      </c>
      <c r="F84" s="215">
        <f t="shared" si="26"/>
        <v>-38541.962844744005</v>
      </c>
      <c r="G84" s="215">
        <f>G67-G74</f>
        <v>-26698.672697356</v>
      </c>
      <c r="H84" s="215">
        <f t="shared" si="26"/>
        <v>239.83085466666671</v>
      </c>
      <c r="I84" s="215">
        <f t="shared" si="26"/>
        <v>-12468.982927554664</v>
      </c>
      <c r="J84" s="215">
        <f t="shared" si="26"/>
        <v>385.8619255000001</v>
      </c>
    </row>
    <row r="85" spans="1:10">
      <c r="A85" s="310" t="s">
        <v>226</v>
      </c>
      <c r="B85" s="57">
        <v>3400</v>
      </c>
      <c r="C85" s="206">
        <f t="shared" ref="C85:J85" si="27">C42+C65+C84</f>
        <v>45746.058019999982</v>
      </c>
      <c r="D85" s="206">
        <f t="shared" si="27"/>
        <v>-22617.715507593486</v>
      </c>
      <c r="E85" s="206">
        <f t="shared" si="27"/>
        <v>-46101.115299780533</v>
      </c>
      <c r="F85" s="206">
        <f t="shared" si="27"/>
        <v>35200.301656786614</v>
      </c>
      <c r="G85" s="206">
        <f t="shared" si="27"/>
        <v>22479.322492963351</v>
      </c>
      <c r="H85" s="206">
        <f>H42+H65+H84</f>
        <v>5109.9084815990973</v>
      </c>
      <c r="I85" s="206">
        <f t="shared" si="27"/>
        <v>-11832.851191056221</v>
      </c>
      <c r="J85" s="206">
        <f t="shared" si="27"/>
        <v>19443.921873280393</v>
      </c>
    </row>
    <row r="86" spans="1:10">
      <c r="A86" s="58" t="s">
        <v>227</v>
      </c>
      <c r="B86" s="183">
        <v>3405</v>
      </c>
      <c r="C86" s="208">
        <v>5954</v>
      </c>
      <c r="D86" s="208">
        <v>54545.9</v>
      </c>
      <c r="E86" s="208">
        <f>C88</f>
        <v>51573.058019999982</v>
      </c>
      <c r="F86" s="208">
        <f>E88</f>
        <v>5471.9427202194493</v>
      </c>
      <c r="G86" s="208">
        <f>E88</f>
        <v>5471.9427202194493</v>
      </c>
      <c r="H86" s="208">
        <f>G88</f>
        <v>27951.2652131828</v>
      </c>
      <c r="I86" s="208">
        <f t="shared" ref="I86:J86" si="28">H88</f>
        <v>33061.173694781901</v>
      </c>
      <c r="J86" s="208">
        <f t="shared" si="28"/>
        <v>21228.322503725678</v>
      </c>
    </row>
    <row r="87" spans="1:10">
      <c r="A87" s="58" t="s">
        <v>228</v>
      </c>
      <c r="B87" s="183">
        <v>3410</v>
      </c>
      <c r="C87" s="208">
        <v>127</v>
      </c>
      <c r="D87" s="208"/>
      <c r="E87" s="208"/>
      <c r="F87" s="208"/>
      <c r="G87" s="208"/>
      <c r="H87" s="208"/>
      <c r="I87" s="208"/>
      <c r="J87" s="208"/>
    </row>
    <row r="88" spans="1:10" s="12" customFormat="1">
      <c r="A88" s="310" t="s">
        <v>229</v>
      </c>
      <c r="B88" s="57">
        <v>3415</v>
      </c>
      <c r="C88" s="285">
        <f>(C86+C85)-C87</f>
        <v>51573.058019999982</v>
      </c>
      <c r="D88" s="216">
        <f t="shared" ref="D88:J88" si="29">(D86+D85)-D87</f>
        <v>31928.184492406515</v>
      </c>
      <c r="E88" s="216">
        <f t="shared" si="29"/>
        <v>5471.9427202194493</v>
      </c>
      <c r="F88" s="216">
        <f t="shared" si="29"/>
        <v>40672.244377006064</v>
      </c>
      <c r="G88" s="216">
        <f t="shared" si="29"/>
        <v>27951.2652131828</v>
      </c>
      <c r="H88" s="216">
        <f>(H86+H85)-H87</f>
        <v>33061.173694781901</v>
      </c>
      <c r="I88" s="216">
        <f t="shared" si="29"/>
        <v>21228.322503725678</v>
      </c>
      <c r="J88" s="216">
        <f t="shared" si="29"/>
        <v>40672.244377006071</v>
      </c>
    </row>
    <row r="89" spans="1:10" hidden="1" outlineLevel="1">
      <c r="C89" s="220">
        <v>51573</v>
      </c>
      <c r="D89" s="220">
        <f>39054.8</f>
        <v>39054.800000000003</v>
      </c>
      <c r="E89" s="297"/>
      <c r="F89" s="320">
        <f>(F9+F16+F21)/1.2+F13</f>
        <v>1180818.0238697804</v>
      </c>
      <c r="G89" s="320">
        <f>I.Розшифрування!F152</f>
        <v>1181657.6178697804</v>
      </c>
      <c r="H89" s="119">
        <f>F89-G89</f>
        <v>-839.59400000004098</v>
      </c>
      <c r="I89" s="119"/>
      <c r="J89" s="119"/>
    </row>
    <row r="90" spans="1:10" hidden="1" outlineLevel="1">
      <c r="C90" s="220">
        <f>C88-C89</f>
        <v>5.8019999982207082E-2</v>
      </c>
      <c r="D90" s="220">
        <f>D88-D89</f>
        <v>-7126.6155075934876</v>
      </c>
      <c r="E90" s="297"/>
      <c r="F90" s="119">
        <f>F27/1.2+F28+F29+F37+'II. Розрахунки з бюджетом'!F31+F81+[37]Розшиф!K202+F35</f>
        <v>996850.16739257507</v>
      </c>
      <c r="G90" s="119">
        <f>I.Розшифрування!F153</f>
        <v>969251.65365026554</v>
      </c>
      <c r="H90" s="119">
        <f>F90-G90</f>
        <v>27598.513742309529</v>
      </c>
      <c r="I90" s="119"/>
      <c r="J90" s="119"/>
    </row>
    <row r="91" spans="1:10" hidden="1" outlineLevel="1">
      <c r="C91" s="297"/>
      <c r="E91" s="235"/>
      <c r="F91" s="235">
        <f>F89-F90</f>
        <v>183967.85647720529</v>
      </c>
      <c r="G91" s="319">
        <f>[37]Розшиф!K179</f>
        <v>212405.96421951486</v>
      </c>
      <c r="H91" s="321">
        <f>F91-G91</f>
        <v>-28438.10774230957</v>
      </c>
    </row>
    <row r="92" spans="1:10" hidden="1" outlineLevel="1">
      <c r="C92" s="297"/>
      <c r="E92" s="235"/>
      <c r="F92" s="235"/>
      <c r="G92" s="319"/>
      <c r="H92" s="321"/>
    </row>
    <row r="93" spans="1:10" hidden="1" outlineLevel="1">
      <c r="A93" s="315" t="s">
        <v>564</v>
      </c>
      <c r="B93" s="316"/>
      <c r="C93" s="316"/>
      <c r="D93" s="317"/>
      <c r="E93" s="317">
        <f>E9/6-E27/6-E41/6-E52/6</f>
        <v>23250.045416161396</v>
      </c>
      <c r="F93" s="317">
        <f>SUM(G93:J93)</f>
        <v>21746.450879482854</v>
      </c>
      <c r="G93" s="317">
        <f>G9/6-G27/6-G41/6-G52/6+G16/6</f>
        <v>13092.942014148846</v>
      </c>
      <c r="H93" s="317">
        <f>H9/6-H27/6-H41/6-H52/6+H16/6</f>
        <v>1649.3765065704054</v>
      </c>
      <c r="I93" s="317">
        <f>I9/6-I27/6-I41/6-I52/6+I16/6</f>
        <v>443.62398973459199</v>
      </c>
      <c r="J93" s="317">
        <f>J9/6-J27/6-J41/6-J52/6+J16/6</f>
        <v>6560.5083690290121</v>
      </c>
    </row>
    <row r="94" spans="1:10" hidden="1" outlineLevel="1">
      <c r="F94" s="362">
        <f>SUM(G94:J94)</f>
        <v>21746.450879482858</v>
      </c>
      <c r="G94" s="317">
        <f>G93</f>
        <v>13092.942014148846</v>
      </c>
      <c r="H94" s="316">
        <v>0</v>
      </c>
      <c r="I94" s="316">
        <v>0</v>
      </c>
      <c r="J94" s="317">
        <f>J93+I93+H93</f>
        <v>8653.5088653340099</v>
      </c>
    </row>
    <row r="95" spans="1:10" hidden="1" outlineLevel="1">
      <c r="C95" s="297"/>
      <c r="E95" s="235"/>
      <c r="F95" s="235"/>
    </row>
    <row r="96" spans="1:10" collapsed="1">
      <c r="C96" s="297"/>
      <c r="E96" s="235"/>
      <c r="F96" s="235"/>
    </row>
    <row r="97" spans="1:10">
      <c r="C97" s="297"/>
      <c r="D97" s="218"/>
      <c r="E97" s="297"/>
    </row>
    <row r="98" spans="1:10" ht="19.5">
      <c r="A98" s="299" t="s">
        <v>368</v>
      </c>
      <c r="B98" s="252"/>
      <c r="C98" s="435" t="s">
        <v>52</v>
      </c>
      <c r="D98" s="435"/>
      <c r="E98" s="435"/>
      <c r="F98" s="436"/>
      <c r="G98" s="253"/>
      <c r="H98" s="437" t="s">
        <v>369</v>
      </c>
      <c r="I98" s="437"/>
      <c r="J98" s="437"/>
    </row>
    <row r="99" spans="1:10">
      <c r="A99" s="209"/>
      <c r="B99" s="210"/>
      <c r="C99" s="404"/>
      <c r="D99" s="404"/>
      <c r="E99" s="404"/>
      <c r="F99" s="404"/>
      <c r="G99" s="211"/>
      <c r="H99" s="405"/>
      <c r="I99" s="405"/>
      <c r="J99" s="405"/>
    </row>
  </sheetData>
  <mergeCells count="15">
    <mergeCell ref="C98:F98"/>
    <mergeCell ref="H98:J98"/>
    <mergeCell ref="C99:F99"/>
    <mergeCell ref="H99:J99"/>
    <mergeCell ref="D4:D5"/>
    <mergeCell ref="A66:J66"/>
    <mergeCell ref="A7:J7"/>
    <mergeCell ref="A43:J43"/>
    <mergeCell ref="A2:J2"/>
    <mergeCell ref="A4:A5"/>
    <mergeCell ref="B4:B5"/>
    <mergeCell ref="C4:C5"/>
    <mergeCell ref="F4:F5"/>
    <mergeCell ref="G4:J4"/>
    <mergeCell ref="E4:E5"/>
  </mergeCells>
  <phoneticPr fontId="3" type="noConversion"/>
  <pageMargins left="0.70866141732283472" right="0.19685039370078741" top="0.78740157480314965" bottom="0.78740157480314965" header="0.19685039370078741" footer="0.23622047244094491"/>
  <pageSetup paperSize="9" scale="60" fitToHeight="0" orientation="landscape" r:id="rId1"/>
  <headerFooter alignWithMargins="0">
    <oddHeader xml:space="preserve">&amp;C&amp;"Times New Roman,обычный"&amp;14 
9&amp;R&amp;"Times New Roman,обычный"&amp;14
Продовження додатка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Q189"/>
  <sheetViews>
    <sheetView zoomScale="75" zoomScaleNormal="75" zoomScaleSheetLayoutView="50" workbookViewId="0">
      <selection sqref="A1:XFD1048576"/>
    </sheetView>
  </sheetViews>
  <sheetFormatPr defaultRowHeight="18.75" outlineLevelRow="1"/>
  <cols>
    <col min="1" max="1" width="70.28515625" style="3" customWidth="1"/>
    <col min="2" max="2" width="10.42578125" style="16" customWidth="1"/>
    <col min="3" max="5" width="19.42578125" style="16" customWidth="1"/>
    <col min="6" max="6" width="19.42578125" style="3" customWidth="1"/>
    <col min="7" max="8" width="17.140625" style="3" customWidth="1"/>
    <col min="9" max="9" width="17" style="3" customWidth="1"/>
    <col min="10" max="10" width="17.28515625" style="3" customWidth="1"/>
    <col min="11" max="11" width="9.5703125" style="3" customWidth="1"/>
    <col min="12" max="12" width="14.42578125" style="3" customWidth="1"/>
    <col min="13" max="16384" width="9.140625" style="3"/>
  </cols>
  <sheetData>
    <row r="4" spans="1:17">
      <c r="A4" s="426" t="s">
        <v>80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1:17">
      <c r="A5" s="443"/>
      <c r="B5" s="443"/>
      <c r="C5" s="443"/>
      <c r="D5" s="443"/>
      <c r="E5" s="443"/>
      <c r="F5" s="443"/>
      <c r="G5" s="443"/>
      <c r="H5" s="443"/>
      <c r="I5" s="443"/>
      <c r="J5" s="443"/>
    </row>
    <row r="6" spans="1:17" ht="43.5" customHeight="1">
      <c r="A6" s="431" t="s">
        <v>91</v>
      </c>
      <c r="B6" s="433" t="s">
        <v>7</v>
      </c>
      <c r="C6" s="420" t="s">
        <v>365</v>
      </c>
      <c r="D6" s="420" t="s">
        <v>366</v>
      </c>
      <c r="E6" s="420" t="s">
        <v>367</v>
      </c>
      <c r="F6" s="444" t="s">
        <v>486</v>
      </c>
      <c r="G6" s="433" t="s">
        <v>109</v>
      </c>
      <c r="H6" s="433"/>
      <c r="I6" s="433"/>
      <c r="J6" s="433"/>
    </row>
    <row r="7" spans="1:17" ht="56.25" customHeight="1">
      <c r="A7" s="431"/>
      <c r="B7" s="433"/>
      <c r="C7" s="421"/>
      <c r="D7" s="421"/>
      <c r="E7" s="421"/>
      <c r="F7" s="445"/>
      <c r="G7" s="11" t="s">
        <v>72</v>
      </c>
      <c r="H7" s="11" t="s">
        <v>73</v>
      </c>
      <c r="I7" s="11" t="s">
        <v>74</v>
      </c>
      <c r="J7" s="11" t="s">
        <v>39</v>
      </c>
    </row>
    <row r="8" spans="1:17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7" s="5" customFormat="1" ht="42.75" customHeight="1">
      <c r="A9" s="42" t="s">
        <v>44</v>
      </c>
      <c r="B9" s="43">
        <v>4000</v>
      </c>
      <c r="C9" s="46">
        <f t="shared" ref="C9:J9" si="0">C10+C11+C12+C13+C14+C15</f>
        <v>25423.910406000003</v>
      </c>
      <c r="D9" s="46">
        <f t="shared" si="0"/>
        <v>87894.454509999981</v>
      </c>
      <c r="E9" s="46">
        <f t="shared" si="0"/>
        <v>59124.999600000003</v>
      </c>
      <c r="F9" s="46">
        <f t="shared" si="0"/>
        <v>66149.147652</v>
      </c>
      <c r="G9" s="46">
        <f t="shared" si="0"/>
        <v>23612.598964536766</v>
      </c>
      <c r="H9" s="46">
        <f t="shared" si="0"/>
        <v>11827.728575291052</v>
      </c>
      <c r="I9" s="46">
        <f t="shared" si="0"/>
        <v>11119.787155145932</v>
      </c>
      <c r="J9" s="46">
        <f t="shared" si="0"/>
        <v>19589.032957026251</v>
      </c>
      <c r="L9" s="226"/>
    </row>
    <row r="10" spans="1:17" ht="20.100000000000001" customHeight="1">
      <c r="A10" s="8" t="s">
        <v>1</v>
      </c>
      <c r="B10" s="38" t="s">
        <v>84</v>
      </c>
      <c r="C10" s="49">
        <v>0</v>
      </c>
      <c r="D10" s="49">
        <f>'[38]4. Кап. інвес'!$F$8</f>
        <v>0</v>
      </c>
      <c r="E10" s="9">
        <v>0</v>
      </c>
      <c r="F10" s="9">
        <f>SUM(G10:J10)</f>
        <v>0</v>
      </c>
      <c r="G10" s="9">
        <f>'VI. Інформація до фінплану2'!X8</f>
        <v>0</v>
      </c>
      <c r="H10" s="9">
        <f>'VI. Інформація до фінплану2'!Y8</f>
        <v>0</v>
      </c>
      <c r="I10" s="9">
        <f>'VI. Інформація до фінплану2'!Z8</f>
        <v>0</v>
      </c>
      <c r="J10" s="9">
        <f>'VI. Інформація до фінплану2'!AA8</f>
        <v>0</v>
      </c>
      <c r="L10" s="120"/>
    </row>
    <row r="11" spans="1:17" ht="20.100000000000001" customHeight="1">
      <c r="A11" s="8" t="s">
        <v>2</v>
      </c>
      <c r="B11" s="37">
        <v>4020</v>
      </c>
      <c r="C11" s="49">
        <f>'[39]4. Кап. інвес'!$D$10</f>
        <v>9351.3656560000018</v>
      </c>
      <c r="D11" s="49">
        <f>'[38]4. Кап. інвес'!$F$11</f>
        <v>5810.3545100000001</v>
      </c>
      <c r="E11" s="9">
        <f>900+2100+2000+259+(5354+2000+8794)</f>
        <v>21407</v>
      </c>
      <c r="F11" s="9">
        <f t="shared" ref="F11:F15" si="1">SUM(G11:J11)</f>
        <v>16278.253580000001</v>
      </c>
      <c r="G11" s="9">
        <f>'VI. Інформація до фінплану2'!X9</f>
        <v>6376.5048000000006</v>
      </c>
      <c r="H11" s="9">
        <f>'VI. Інформація до фінплану2'!Y9</f>
        <v>3458.4067599999998</v>
      </c>
      <c r="I11" s="9">
        <f>'VI. Інформація до фінплану2'!Z9</f>
        <v>3221.2497199999998</v>
      </c>
      <c r="J11" s="9">
        <f>'VI. Інформація до фінплану2'!AA9</f>
        <v>3222.0923000000003</v>
      </c>
      <c r="L11" s="120"/>
      <c r="Q11" s="15"/>
    </row>
    <row r="12" spans="1:17" ht="36.75" customHeight="1">
      <c r="A12" s="8" t="s">
        <v>14</v>
      </c>
      <c r="B12" s="38">
        <v>4030</v>
      </c>
      <c r="C12" s="49">
        <f>'[39]5. Інша інформація 7п'!$N$33</f>
        <v>1307.6741600000003</v>
      </c>
      <c r="D12" s="49">
        <f>'[38]4. Кап. інвес'!$F$14</f>
        <v>400</v>
      </c>
      <c r="E12" s="9">
        <f>490.8+500</f>
        <v>990.8</v>
      </c>
      <c r="F12" s="9">
        <f t="shared" si="1"/>
        <v>990</v>
      </c>
      <c r="G12" s="9">
        <f>'VI. Інформація до фінплану2'!X13</f>
        <v>247.5</v>
      </c>
      <c r="H12" s="9">
        <f>'VI. Інформація до фінплану2'!Y13</f>
        <v>247.5</v>
      </c>
      <c r="I12" s="9">
        <f>'VI. Інформація до фінплану2'!Z13</f>
        <v>247.5</v>
      </c>
      <c r="J12" s="9">
        <f>'VI. Інформація до фінплану2'!AA13</f>
        <v>247.5</v>
      </c>
      <c r="L12" s="120"/>
      <c r="P12" s="15"/>
    </row>
    <row r="13" spans="1:17" ht="20.100000000000001" customHeight="1">
      <c r="A13" s="8" t="s">
        <v>3</v>
      </c>
      <c r="B13" s="37">
        <v>4040</v>
      </c>
      <c r="C13" s="49"/>
      <c r="D13" s="49"/>
      <c r="E13" s="9"/>
      <c r="F13" s="9">
        <f t="shared" si="1"/>
        <v>0</v>
      </c>
      <c r="G13" s="9">
        <f>'VI. Інформація до фінплану2'!X14</f>
        <v>0</v>
      </c>
      <c r="H13" s="9">
        <f>'VI. Інформація до фінплану2'!Y14</f>
        <v>0</v>
      </c>
      <c r="I13" s="9">
        <f>'VI. Інформація до фінплану2'!Z14</f>
        <v>0</v>
      </c>
      <c r="J13" s="9">
        <f>'VI. Інформація до фінплану2'!AA14</f>
        <v>0</v>
      </c>
    </row>
    <row r="14" spans="1:17" ht="42.75" customHeight="1">
      <c r="A14" s="8" t="s">
        <v>36</v>
      </c>
      <c r="B14" s="38">
        <v>4050</v>
      </c>
      <c r="C14" s="49">
        <f>'[39]4. Кап. інвес'!$D$14-C15</f>
        <v>14204.87059</v>
      </c>
      <c r="D14" s="49">
        <f>'[38]4. Кап. інвес'!$F$16-D15</f>
        <v>63236.44999999999</v>
      </c>
      <c r="E14" s="9">
        <f>430.656+87.6036+1600+1500</f>
        <v>3618.2595999999999</v>
      </c>
      <c r="F14" s="9">
        <f t="shared" si="1"/>
        <v>41655.894071999996</v>
      </c>
      <c r="G14" s="9">
        <f>'VI. Інформація до фінплану2'!X15</f>
        <v>16988.594164536764</v>
      </c>
      <c r="H14" s="9">
        <f>'VI. Інформація до фінплану2'!Y15</f>
        <v>5713.4884819577182</v>
      </c>
      <c r="I14" s="9">
        <f>'VI. Інформація до фінплану2'!Z15</f>
        <v>5242.7041018125983</v>
      </c>
      <c r="J14" s="9">
        <f>'VI. Інформація до фінплану2'!AA15</f>
        <v>13711.107323692917</v>
      </c>
    </row>
    <row r="15" spans="1:17" ht="24" customHeight="1">
      <c r="A15" s="8" t="s">
        <v>230</v>
      </c>
      <c r="B15" s="38">
        <v>4060</v>
      </c>
      <c r="C15" s="49">
        <v>560</v>
      </c>
      <c r="D15" s="49">
        <v>18447.650000000001</v>
      </c>
      <c r="E15" s="9">
        <f>6875.9+20386.7*1.2+869+900</f>
        <v>33108.94</v>
      </c>
      <c r="F15" s="9">
        <f t="shared" si="1"/>
        <v>7225</v>
      </c>
      <c r="G15" s="9">
        <f>'VI. Інформація до фінплану2'!X26</f>
        <v>0</v>
      </c>
      <c r="H15" s="9">
        <f>'VI. Інформація до фінплану2'!Y26</f>
        <v>2408.3333333333335</v>
      </c>
      <c r="I15" s="9">
        <f>'VI. Інформація до фінплану2'!Z26</f>
        <v>2408.3333333333335</v>
      </c>
      <c r="J15" s="9">
        <f>'VI. Інформація до фінплану2'!AA26</f>
        <v>2408.3333333333335</v>
      </c>
    </row>
    <row r="16" spans="1:17" ht="26.25" customHeight="1">
      <c r="B16" s="3"/>
      <c r="D16" s="121"/>
      <c r="E16" s="121"/>
      <c r="F16" s="121"/>
      <c r="G16" s="34"/>
      <c r="H16" s="34"/>
      <c r="I16" s="34"/>
      <c r="J16" s="34"/>
    </row>
    <row r="17" spans="1:16" s="179" customFormat="1" ht="26.25" customHeight="1">
      <c r="C17" s="121"/>
      <c r="D17" s="121"/>
      <c r="E17" s="120"/>
      <c r="F17" s="120"/>
      <c r="G17" s="34"/>
      <c r="H17" s="34"/>
      <c r="I17" s="34"/>
      <c r="J17" s="34"/>
    </row>
    <row r="18" spans="1:16" s="2" customFormat="1" ht="20.100000000000001" customHeight="1">
      <c r="A18" s="4"/>
      <c r="C18" s="3"/>
      <c r="D18" s="229"/>
      <c r="E18" s="120"/>
      <c r="F18" s="34"/>
      <c r="G18" s="3"/>
      <c r="H18" s="3"/>
      <c r="I18" s="3"/>
      <c r="J18" s="3"/>
      <c r="K18" s="3"/>
    </row>
    <row r="19" spans="1:16" ht="20.100000000000001" customHeight="1">
      <c r="A19" s="28" t="s">
        <v>368</v>
      </c>
      <c r="B19" s="1"/>
      <c r="C19" s="446" t="s">
        <v>52</v>
      </c>
      <c r="D19" s="446"/>
      <c r="E19" s="446"/>
      <c r="F19" s="447"/>
      <c r="G19" s="10"/>
      <c r="H19" s="437" t="s">
        <v>369</v>
      </c>
      <c r="I19" s="437"/>
      <c r="J19" s="437"/>
    </row>
    <row r="20" spans="1:16" s="179" customFormat="1" ht="20.100000000000001" customHeight="1">
      <c r="A20" s="28"/>
      <c r="B20" s="1"/>
      <c r="C20" s="180"/>
      <c r="D20" s="180"/>
      <c r="E20" s="180"/>
      <c r="F20" s="181"/>
      <c r="G20" s="10"/>
    </row>
    <row r="21" spans="1:16" s="2" customFormat="1" ht="20.100000000000001" customHeight="1">
      <c r="A21" s="16"/>
      <c r="B21" s="3"/>
      <c r="C21" s="448"/>
      <c r="D21" s="448"/>
      <c r="E21" s="448"/>
      <c r="F21" s="448"/>
      <c r="G21" s="17"/>
      <c r="H21" s="415"/>
      <c r="I21" s="415"/>
      <c r="J21" s="415"/>
    </row>
    <row r="22" spans="1:16">
      <c r="A22" s="25"/>
    </row>
    <row r="23" spans="1:16" hidden="1" outlineLevel="1">
      <c r="A23" s="25"/>
      <c r="E23" s="221">
        <v>2021</v>
      </c>
    </row>
    <row r="24" spans="1:16" hidden="1" outlineLevel="1">
      <c r="A24" s="25"/>
      <c r="E24" s="46">
        <f>E25+E26+E27+E28+E29+E30</f>
        <v>59124.999600000003</v>
      </c>
    </row>
    <row r="25" spans="1:16" hidden="1" outlineLevel="1">
      <c r="A25" s="8" t="s">
        <v>1</v>
      </c>
      <c r="E25" s="9">
        <v>0</v>
      </c>
    </row>
    <row r="26" spans="1:16" ht="27" hidden="1" customHeight="1" outlineLevel="1">
      <c r="A26" s="8" t="s">
        <v>2</v>
      </c>
      <c r="E26" s="9">
        <f>900+2100+2000+259+(5354+2000+8794)</f>
        <v>21407</v>
      </c>
      <c r="F26" s="441" t="s">
        <v>512</v>
      </c>
      <c r="G26" s="442"/>
      <c r="H26" s="442"/>
      <c r="I26" s="442"/>
      <c r="J26" s="442"/>
      <c r="K26" s="442"/>
      <c r="L26" s="442"/>
      <c r="M26" s="442"/>
      <c r="N26" s="442"/>
      <c r="O26" s="442"/>
      <c r="P26" s="442"/>
    </row>
    <row r="27" spans="1:16" ht="37.5" hidden="1" outlineLevel="1">
      <c r="A27" s="8" t="s">
        <v>14</v>
      </c>
      <c r="E27" s="9">
        <f>490.8+500</f>
        <v>990.8</v>
      </c>
      <c r="F27" s="3" t="s">
        <v>511</v>
      </c>
    </row>
    <row r="28" spans="1:16" hidden="1" outlineLevel="1">
      <c r="A28" s="8" t="s">
        <v>3</v>
      </c>
      <c r="E28" s="9"/>
    </row>
    <row r="29" spans="1:16" ht="37.5" hidden="1" outlineLevel="1">
      <c r="A29" s="8" t="s">
        <v>36</v>
      </c>
      <c r="E29" s="9">
        <f>430.656+87.6036+1600+1500</f>
        <v>3618.2595999999999</v>
      </c>
      <c r="F29" s="115" t="s">
        <v>513</v>
      </c>
    </row>
    <row r="30" spans="1:16" ht="30.75" hidden="1" customHeight="1" outlineLevel="1">
      <c r="A30" s="8" t="s">
        <v>230</v>
      </c>
      <c r="E30" s="9">
        <f>6875.9+20386.7*1.2+869+900</f>
        <v>33108.94</v>
      </c>
      <c r="F30" s="115" t="s">
        <v>505</v>
      </c>
    </row>
    <row r="31" spans="1:16" hidden="1" outlineLevel="1">
      <c r="A31" s="25"/>
      <c r="D31" s="227" t="s">
        <v>488</v>
      </c>
      <c r="E31" s="228">
        <v>12653.18649</v>
      </c>
    </row>
    <row r="32" spans="1:16" hidden="1" outlineLevel="1">
      <c r="A32" s="25"/>
      <c r="D32" s="227" t="s">
        <v>506</v>
      </c>
      <c r="E32" s="228">
        <f>20386.7*1.2</f>
        <v>24464.04</v>
      </c>
    </row>
    <row r="33" spans="1:5" hidden="1" outlineLevel="1">
      <c r="A33" s="25"/>
      <c r="D33" s="227" t="s">
        <v>487</v>
      </c>
      <c r="E33" s="228">
        <f>E24-E31-E32</f>
        <v>22007.773110000002</v>
      </c>
    </row>
    <row r="34" spans="1:5" s="179" customFormat="1" hidden="1" outlineLevel="1">
      <c r="A34" s="25"/>
      <c r="B34" s="182"/>
      <c r="C34" s="182"/>
      <c r="D34" s="225" t="s">
        <v>510</v>
      </c>
      <c r="E34" s="230">
        <f>5354+2000</f>
        <v>7354</v>
      </c>
    </row>
    <row r="35" spans="1:5" s="223" customFormat="1" hidden="1" outlineLevel="1">
      <c r="A35" s="222"/>
      <c r="B35" s="71"/>
      <c r="C35" s="71"/>
      <c r="D35" s="225" t="s">
        <v>504</v>
      </c>
      <c r="E35" s="230">
        <f>1600+1500</f>
        <v>3100</v>
      </c>
    </row>
    <row r="36" spans="1:5" s="223" customFormat="1" hidden="1" outlineLevel="1">
      <c r="A36" s="222"/>
      <c r="B36" s="71"/>
      <c r="C36" s="71"/>
      <c r="D36" s="225" t="s">
        <v>507</v>
      </c>
      <c r="E36" s="230">
        <v>8794</v>
      </c>
    </row>
    <row r="37" spans="1:5" s="223" customFormat="1" hidden="1" outlineLevel="1">
      <c r="A37" s="222"/>
      <c r="B37" s="71"/>
      <c r="C37" s="71"/>
      <c r="D37" s="225" t="s">
        <v>508</v>
      </c>
      <c r="E37" s="230">
        <f>E27</f>
        <v>990.8</v>
      </c>
    </row>
    <row r="38" spans="1:5" s="223" customFormat="1" hidden="1" outlineLevel="1">
      <c r="A38" s="222"/>
      <c r="B38" s="71"/>
      <c r="C38" s="71"/>
      <c r="D38" s="225" t="s">
        <v>509</v>
      </c>
      <c r="E38" s="230">
        <f>869+900</f>
        <v>1769</v>
      </c>
    </row>
    <row r="39" spans="1:5" s="223" customFormat="1" collapsed="1">
      <c r="A39" s="222"/>
      <c r="B39" s="71"/>
      <c r="C39" s="71"/>
      <c r="D39" s="224"/>
    </row>
    <row r="40" spans="1:5" s="223" customFormat="1">
      <c r="A40" s="222"/>
      <c r="B40" s="71"/>
      <c r="C40" s="71"/>
    </row>
    <row r="41" spans="1:5">
      <c r="A41" s="25"/>
    </row>
    <row r="42" spans="1:5">
      <c r="A42" s="25"/>
    </row>
    <row r="43" spans="1:5">
      <c r="A43" s="25"/>
    </row>
    <row r="44" spans="1:5">
      <c r="A44" s="25"/>
    </row>
    <row r="45" spans="1:5">
      <c r="A45" s="25"/>
    </row>
    <row r="46" spans="1:5">
      <c r="A46" s="25"/>
    </row>
    <row r="47" spans="1:5">
      <c r="A47" s="25"/>
    </row>
    <row r="48" spans="1:5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  <row r="92" spans="1:1">
      <c r="A92" s="25"/>
    </row>
    <row r="93" spans="1:1">
      <c r="A93" s="25"/>
    </row>
    <row r="94" spans="1:1">
      <c r="A94" s="25"/>
    </row>
    <row r="95" spans="1:1">
      <c r="A95" s="25"/>
    </row>
    <row r="96" spans="1:1">
      <c r="A96" s="25"/>
    </row>
    <row r="97" spans="1:1">
      <c r="A97" s="25"/>
    </row>
    <row r="98" spans="1:1">
      <c r="A98" s="25"/>
    </row>
    <row r="99" spans="1:1">
      <c r="A99" s="25"/>
    </row>
    <row r="100" spans="1:1">
      <c r="A100" s="25"/>
    </row>
    <row r="101" spans="1:1">
      <c r="A101" s="25"/>
    </row>
    <row r="102" spans="1:1">
      <c r="A102" s="25"/>
    </row>
    <row r="103" spans="1:1">
      <c r="A103" s="25"/>
    </row>
    <row r="104" spans="1:1">
      <c r="A104" s="25"/>
    </row>
    <row r="105" spans="1:1">
      <c r="A105" s="25"/>
    </row>
    <row r="106" spans="1:1">
      <c r="A106" s="25"/>
    </row>
    <row r="107" spans="1:1">
      <c r="A107" s="25"/>
    </row>
    <row r="108" spans="1:1">
      <c r="A108" s="25"/>
    </row>
    <row r="109" spans="1:1">
      <c r="A109" s="25"/>
    </row>
    <row r="110" spans="1:1">
      <c r="A110" s="25"/>
    </row>
    <row r="111" spans="1:1">
      <c r="A111" s="25"/>
    </row>
    <row r="112" spans="1:1">
      <c r="A112" s="25"/>
    </row>
    <row r="113" spans="1:1">
      <c r="A113" s="25"/>
    </row>
    <row r="114" spans="1:1">
      <c r="A114" s="25"/>
    </row>
    <row r="115" spans="1:1">
      <c r="A115" s="25"/>
    </row>
    <row r="116" spans="1:1">
      <c r="A116" s="25"/>
    </row>
    <row r="117" spans="1:1">
      <c r="A117" s="25"/>
    </row>
    <row r="118" spans="1:1">
      <c r="A118" s="25"/>
    </row>
    <row r="119" spans="1:1">
      <c r="A119" s="25"/>
    </row>
    <row r="120" spans="1:1">
      <c r="A120" s="25"/>
    </row>
    <row r="121" spans="1:1">
      <c r="A121" s="25"/>
    </row>
    <row r="122" spans="1:1">
      <c r="A122" s="25"/>
    </row>
    <row r="123" spans="1:1">
      <c r="A123" s="25"/>
    </row>
    <row r="124" spans="1:1">
      <c r="A124" s="25"/>
    </row>
    <row r="125" spans="1:1">
      <c r="A125" s="25"/>
    </row>
    <row r="126" spans="1:1">
      <c r="A126" s="25"/>
    </row>
    <row r="127" spans="1:1">
      <c r="A127" s="25"/>
    </row>
    <row r="128" spans="1:1">
      <c r="A128" s="25"/>
    </row>
    <row r="129" spans="1:1">
      <c r="A129" s="25"/>
    </row>
    <row r="130" spans="1:1">
      <c r="A130" s="25"/>
    </row>
    <row r="131" spans="1:1">
      <c r="A131" s="25"/>
    </row>
    <row r="132" spans="1:1">
      <c r="A132" s="25"/>
    </row>
    <row r="133" spans="1:1">
      <c r="A133" s="25"/>
    </row>
    <row r="134" spans="1:1">
      <c r="A134" s="25"/>
    </row>
    <row r="135" spans="1:1">
      <c r="A135" s="25"/>
    </row>
    <row r="136" spans="1:1">
      <c r="A136" s="25"/>
    </row>
    <row r="137" spans="1:1">
      <c r="A137" s="25"/>
    </row>
    <row r="138" spans="1:1">
      <c r="A138" s="25"/>
    </row>
    <row r="139" spans="1:1">
      <c r="A139" s="25"/>
    </row>
    <row r="140" spans="1:1">
      <c r="A140" s="25"/>
    </row>
    <row r="141" spans="1:1">
      <c r="A141" s="25"/>
    </row>
    <row r="142" spans="1:1">
      <c r="A142" s="25"/>
    </row>
    <row r="143" spans="1:1">
      <c r="A143" s="25"/>
    </row>
    <row r="144" spans="1:1">
      <c r="A144" s="25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</sheetData>
  <mergeCells count="14">
    <mergeCell ref="F26:P26"/>
    <mergeCell ref="A4:J4"/>
    <mergeCell ref="B6:B7"/>
    <mergeCell ref="C6:C7"/>
    <mergeCell ref="A5:J5"/>
    <mergeCell ref="F6:F7"/>
    <mergeCell ref="D6:D7"/>
    <mergeCell ref="E6:E7"/>
    <mergeCell ref="G6:J6"/>
    <mergeCell ref="C19:F19"/>
    <mergeCell ref="H19:J19"/>
    <mergeCell ref="C21:F21"/>
    <mergeCell ref="H21:J21"/>
    <mergeCell ref="A6:A7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60" firstPageNumber="9" fitToHeight="0" orientation="landscape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J18"/>
  <sheetViews>
    <sheetView zoomScale="75" zoomScaleNormal="75" zoomScaleSheetLayoutView="70" workbookViewId="0">
      <selection sqref="A1:XFD1048576"/>
    </sheetView>
  </sheetViews>
  <sheetFormatPr defaultRowHeight="12.75"/>
  <cols>
    <col min="1" max="1" width="69.42578125" style="80" customWidth="1"/>
    <col min="2" max="2" width="15.42578125" style="80" customWidth="1"/>
    <col min="3" max="3" width="21.140625" style="80" customWidth="1"/>
    <col min="4" max="4" width="18.28515625" style="80" customWidth="1"/>
    <col min="5" max="6" width="19.42578125" style="80" customWidth="1"/>
    <col min="7" max="7" width="19.140625" style="80" customWidth="1"/>
    <col min="8" max="8" width="50.85546875" style="80" customWidth="1"/>
    <col min="9" max="9" width="9.5703125" style="80" customWidth="1"/>
    <col min="10" max="16384" width="9.140625" style="80"/>
  </cols>
  <sheetData>
    <row r="1" spans="1:8" ht="19.5" customHeight="1"/>
    <row r="2" spans="1:8" ht="19.5" customHeight="1"/>
    <row r="3" spans="1:8" ht="21" customHeight="1"/>
    <row r="4" spans="1:8" ht="18.75" customHeight="1">
      <c r="A4" s="449" t="s">
        <v>299</v>
      </c>
      <c r="B4" s="449"/>
      <c r="C4" s="449"/>
      <c r="D4" s="449"/>
      <c r="E4" s="449"/>
      <c r="F4" s="449"/>
      <c r="G4" s="449"/>
      <c r="H4" s="449"/>
    </row>
    <row r="5" spans="1:8" ht="24" customHeight="1"/>
    <row r="6" spans="1:8" ht="45" customHeight="1">
      <c r="A6" s="450" t="s">
        <v>91</v>
      </c>
      <c r="B6" s="450" t="s">
        <v>0</v>
      </c>
      <c r="C6" s="450" t="s">
        <v>298</v>
      </c>
      <c r="D6" s="420" t="s">
        <v>365</v>
      </c>
      <c r="E6" s="420" t="s">
        <v>366</v>
      </c>
      <c r="F6" s="420" t="s">
        <v>367</v>
      </c>
      <c r="G6" s="420" t="s">
        <v>567</v>
      </c>
      <c r="H6" s="450" t="s">
        <v>297</v>
      </c>
    </row>
    <row r="7" spans="1:8" ht="52.5" customHeight="1">
      <c r="A7" s="451"/>
      <c r="B7" s="451"/>
      <c r="C7" s="451"/>
      <c r="D7" s="421"/>
      <c r="E7" s="421"/>
      <c r="F7" s="421"/>
      <c r="G7" s="421"/>
      <c r="H7" s="451"/>
    </row>
    <row r="8" spans="1:8" s="2" customFormat="1" ht="18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6" t="s">
        <v>300</v>
      </c>
    </row>
    <row r="9" spans="1:8" ht="78.75" customHeight="1">
      <c r="A9" s="74" t="s">
        <v>293</v>
      </c>
      <c r="B9" s="304">
        <v>5010</v>
      </c>
      <c r="C9" s="73" t="s">
        <v>292</v>
      </c>
      <c r="D9" s="240">
        <f>'Фінплан - основні фінпоказники'!$C$16/'Фінплан - основні фінпоказники'!C12</f>
        <v>6.8944597224264922E-2</v>
      </c>
      <c r="E9" s="240">
        <f>'Фінплан - основні фінпоказники'!D16/'Фінплан - основні фінпоказники'!D12</f>
        <v>4.65612206420059E-2</v>
      </c>
      <c r="F9" s="240">
        <f>'Фінплан - основні фінпоказники'!E16/'Фінплан - основні фінпоказники'!E12</f>
        <v>4.3363331497097868E-2</v>
      </c>
      <c r="G9" s="240">
        <f>'Фінплан - основні фінпоказники'!F16/'Фінплан - основні фінпоказники'!F12</f>
        <v>0.22046973721672569</v>
      </c>
      <c r="H9" s="72" t="s">
        <v>291</v>
      </c>
    </row>
    <row r="10" spans="1:8" ht="66" customHeight="1">
      <c r="A10" s="74" t="s">
        <v>296</v>
      </c>
      <c r="B10" s="304">
        <v>5020</v>
      </c>
      <c r="C10" s="73" t="s">
        <v>292</v>
      </c>
      <c r="D10" s="240">
        <f>'Фінплан - основні фінпоказники'!$C$16/'Фінплан - основні фінпоказники'!C41</f>
        <v>5.6868941731472777E-2</v>
      </c>
      <c r="E10" s="240">
        <f>'Фінплан - основні фінпоказники'!$C$16/'Фінплан - основні фінпоказники'!D41</f>
        <v>6.4379773927516815E-2</v>
      </c>
      <c r="F10" s="240">
        <f>'Фінплан - основні фінпоказники'!$C$16/'Фінплан - основні фінпоказники'!E41</f>
        <v>7.1330721676574116E-2</v>
      </c>
      <c r="G10" s="240">
        <f>'Фінплан - основні фінпоказники'!$C$16/'Фінплан - основні фінпоказники'!F41</f>
        <v>6.6732370525851945E-2</v>
      </c>
      <c r="H10" s="72" t="s">
        <v>295</v>
      </c>
    </row>
    <row r="11" spans="1:8" ht="74.25" customHeight="1">
      <c r="A11" s="74" t="s">
        <v>294</v>
      </c>
      <c r="B11" s="304">
        <v>5030</v>
      </c>
      <c r="C11" s="73" t="s">
        <v>292</v>
      </c>
      <c r="D11" s="240">
        <f>'Фінплан - основні фінпоказники'!$C$16/'Фінплан - основні фінпоказники'!C49</f>
        <v>0.35065096484084562</v>
      </c>
      <c r="E11" s="240">
        <f>'Фінплан - основні фінпоказники'!$C$16/'Фінплан - основні фінпоказники'!D49</f>
        <v>0.21271972804073944</v>
      </c>
      <c r="F11" s="240">
        <f>'Фінплан - основні фінпоказники'!$C$16/'Фінплан - основні фінпоказники'!E49</f>
        <v>0.24146119837164823</v>
      </c>
      <c r="G11" s="240">
        <f>'Фінплан - основні фінпоказники'!$C$16/'Фінплан - основні фінпоказники'!F49</f>
        <v>9.2330347105405108E-2</v>
      </c>
      <c r="H11" s="363" t="s">
        <v>301</v>
      </c>
    </row>
    <row r="12" spans="1:8" s="2" customFormat="1" ht="73.5" customHeight="1">
      <c r="A12" s="74" t="s">
        <v>290</v>
      </c>
      <c r="B12" s="304">
        <v>5040</v>
      </c>
      <c r="C12" s="73" t="s">
        <v>288</v>
      </c>
      <c r="D12" s="77">
        <f>'Фінплан - основні фінпоказники'!C49/'Фінплан - основні фінпоказники'!C42</f>
        <v>0.57218384152590396</v>
      </c>
      <c r="E12" s="77">
        <f>'Фінплан - основні фінпоказники'!D49/'Фінплан - основні фінпоказники'!D42</f>
        <v>1.1114269247494992</v>
      </c>
      <c r="F12" s="77">
        <f>'Фінплан - основні фінпоказники'!E49/'Фінплан - основні фінпоказники'!E42</f>
        <v>0.97913219500375415</v>
      </c>
      <c r="G12" s="77">
        <f>'Фінплан - основні фінпоказники'!F49/'Фінплан - основні фінпоказники'!F42</f>
        <v>3.1355523628444462</v>
      </c>
      <c r="H12" s="72" t="s">
        <v>289</v>
      </c>
    </row>
    <row r="13" spans="1:8" ht="61.5" customHeight="1">
      <c r="A13" s="74" t="s">
        <v>287</v>
      </c>
      <c r="B13" s="304">
        <v>5050</v>
      </c>
      <c r="C13" s="73" t="s">
        <v>286</v>
      </c>
      <c r="D13" s="77">
        <f>'Фінплан - основні фінпоказники'!C36/'Фінплан - основні фінпоказники'!C35</f>
        <v>0.51250665137709284</v>
      </c>
      <c r="E13" s="77">
        <f>'Фінплан - основні фінпоказники'!D36/'Фінплан - основні фінпоказники'!D35</f>
        <v>0.3893400034937653</v>
      </c>
      <c r="F13" s="77">
        <f>'Фінплан - основні фінпоказники'!E36/'Фінплан - основні фінпоказники'!E35</f>
        <v>0.40843623131320139</v>
      </c>
      <c r="G13" s="77">
        <f>'Фінплан - основні фінпоказники'!F36/'Фінплан - основні фінпоказники'!F35</f>
        <v>0.31676602160103617</v>
      </c>
      <c r="H13" s="72" t="s">
        <v>285</v>
      </c>
    </row>
    <row r="14" spans="1:8" ht="20.100000000000001" customHeight="1"/>
    <row r="15" spans="1:8" ht="20.100000000000001" customHeight="1"/>
    <row r="16" spans="1:8" ht="20.100000000000001" customHeight="1"/>
    <row r="17" spans="1:10" s="307" customFormat="1" ht="20.100000000000001" customHeight="1">
      <c r="A17" s="299" t="s">
        <v>368</v>
      </c>
      <c r="B17" s="252"/>
      <c r="C17" s="435" t="s">
        <v>52</v>
      </c>
      <c r="D17" s="435"/>
      <c r="E17" s="435"/>
      <c r="F17" s="436"/>
      <c r="G17" s="253"/>
      <c r="H17" s="437" t="s">
        <v>369</v>
      </c>
      <c r="I17" s="437"/>
      <c r="J17" s="437"/>
    </row>
    <row r="18" spans="1:10" s="2" customFormat="1" ht="20.100000000000001" customHeight="1">
      <c r="A18" s="209"/>
      <c r="B18" s="210"/>
      <c r="C18" s="404"/>
      <c r="D18" s="404"/>
      <c r="E18" s="404"/>
      <c r="F18" s="404"/>
      <c r="G18" s="211"/>
      <c r="H18" s="405"/>
      <c r="I18" s="405"/>
      <c r="J18" s="405"/>
    </row>
  </sheetData>
  <mergeCells count="13">
    <mergeCell ref="C17:F17"/>
    <mergeCell ref="H17:J17"/>
    <mergeCell ref="C18:F18"/>
    <mergeCell ref="H18:J18"/>
    <mergeCell ref="A4:H4"/>
    <mergeCell ref="H6:H7"/>
    <mergeCell ref="A6:A7"/>
    <mergeCell ref="B6:B7"/>
    <mergeCell ref="C6:C7"/>
    <mergeCell ref="D6:D7"/>
    <mergeCell ref="E6:E7"/>
    <mergeCell ref="F6:F7"/>
    <mergeCell ref="G6:G7"/>
  </mergeCells>
  <pageMargins left="0.39370078740157483" right="0.39370078740157483" top="0.78740157480314965" bottom="0.78740157480314965" header="0.47244094488188981" footer="0.31496062992125984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S32"/>
  <sheetViews>
    <sheetView zoomScale="75" zoomScaleNormal="75" zoomScaleSheetLayoutView="75" workbookViewId="0">
      <selection sqref="A1:XFD1048576"/>
    </sheetView>
  </sheetViews>
  <sheetFormatPr defaultRowHeight="18.75"/>
  <cols>
    <col min="1" max="1" width="35.85546875" style="2" customWidth="1"/>
    <col min="2" max="3" width="15.7109375" style="14" customWidth="1"/>
    <col min="4" max="4" width="21" style="14" customWidth="1"/>
    <col min="5" max="5" width="19" style="2" customWidth="1"/>
    <col min="6" max="6" width="19.28515625" style="2" customWidth="1"/>
    <col min="7" max="7" width="18.5703125" style="2" customWidth="1"/>
    <col min="8" max="8" width="17.140625" style="2" customWidth="1"/>
    <col min="9" max="9" width="14.7109375" style="2" customWidth="1"/>
    <col min="10" max="10" width="17.85546875" style="2" customWidth="1"/>
    <col min="11" max="11" width="17.28515625" style="2" customWidth="1"/>
    <col min="12" max="12" width="15" style="2" customWidth="1"/>
    <col min="13" max="13" width="17.7109375" style="2" customWidth="1"/>
    <col min="14" max="14" width="17.5703125" style="2" customWidth="1"/>
    <col min="15" max="15" width="16.5703125" style="2" customWidth="1"/>
    <col min="16" max="16" width="16.85546875" style="2" customWidth="1"/>
    <col min="17" max="19" width="16.7109375" style="2" customWidth="1"/>
    <col min="20" max="20" width="15.85546875" style="2" customWidth="1"/>
    <col min="21" max="21" width="15.28515625" style="2" customWidth="1"/>
    <col min="22" max="22" width="15.5703125" style="2" customWidth="1"/>
    <col min="23" max="23" width="20.5703125" style="2" customWidth="1"/>
    <col min="24" max="25" width="14.85546875" style="2" customWidth="1"/>
    <col min="26" max="26" width="14.5703125" style="2" customWidth="1"/>
    <col min="27" max="27" width="13.7109375" style="2" customWidth="1"/>
    <col min="28" max="16384" width="9.140625" style="2"/>
  </cols>
  <sheetData>
    <row r="1" spans="1:19" ht="20.25">
      <c r="B1" s="364"/>
      <c r="C1" s="364"/>
      <c r="D1" s="364"/>
      <c r="E1" s="364"/>
      <c r="F1" s="364"/>
      <c r="G1" s="364"/>
      <c r="H1" s="364"/>
      <c r="I1" s="364"/>
    </row>
    <row r="2" spans="1:19" ht="20.25">
      <c r="A2" s="470" t="s">
        <v>302</v>
      </c>
      <c r="B2" s="470"/>
      <c r="C2" s="470"/>
      <c r="D2" s="470"/>
      <c r="E2" s="470"/>
      <c r="F2" s="470"/>
      <c r="G2" s="470"/>
      <c r="H2" s="470"/>
      <c r="I2" s="470"/>
      <c r="J2" s="470"/>
      <c r="K2" s="365"/>
    </row>
    <row r="3" spans="1:19" ht="26.25" customHeight="1">
      <c r="A3" s="473" t="s">
        <v>304</v>
      </c>
      <c r="B3" s="473"/>
      <c r="C3" s="473"/>
      <c r="D3" s="473"/>
      <c r="E3" s="473"/>
      <c r="F3" s="473"/>
      <c r="G3" s="473"/>
    </row>
    <row r="4" spans="1:19" ht="18" customHeight="1">
      <c r="A4" s="35"/>
      <c r="B4" s="291"/>
      <c r="C4" s="291"/>
      <c r="D4" s="291"/>
      <c r="E4" s="291"/>
      <c r="F4" s="291"/>
      <c r="G4" s="291"/>
    </row>
    <row r="5" spans="1:19" ht="32.25" customHeight="1">
      <c r="A5" s="183" t="s">
        <v>231</v>
      </c>
      <c r="B5" s="477" t="s">
        <v>232</v>
      </c>
      <c r="C5" s="478"/>
      <c r="D5" s="479"/>
      <c r="E5" s="481" t="s">
        <v>233</v>
      </c>
      <c r="F5" s="481"/>
      <c r="G5" s="481"/>
      <c r="H5" s="481"/>
    </row>
    <row r="6" spans="1:19" ht="18.75" customHeight="1">
      <c r="A6" s="183">
        <v>1</v>
      </c>
      <c r="B6" s="477">
        <v>2</v>
      </c>
      <c r="C6" s="478"/>
      <c r="D6" s="479"/>
      <c r="E6" s="481">
        <v>3</v>
      </c>
      <c r="F6" s="481"/>
      <c r="G6" s="481"/>
      <c r="H6" s="481"/>
    </row>
    <row r="7" spans="1:19" ht="18.75" customHeight="1">
      <c r="A7" s="183">
        <v>2082522</v>
      </c>
      <c r="B7" s="474" t="s">
        <v>526</v>
      </c>
      <c r="C7" s="475"/>
      <c r="D7" s="476"/>
      <c r="E7" s="480" t="s">
        <v>527</v>
      </c>
      <c r="F7" s="480"/>
      <c r="G7" s="480"/>
      <c r="H7" s="480"/>
    </row>
    <row r="8" spans="1:19" s="307" customFormat="1" ht="18.75" customHeight="1">
      <c r="A8" s="39"/>
      <c r="B8" s="27"/>
      <c r="C8" s="27"/>
      <c r="D8" s="27"/>
      <c r="E8" s="309"/>
      <c r="F8" s="309"/>
      <c r="G8" s="309"/>
    </row>
    <row r="9" spans="1:19" ht="20.100000000000001" customHeight="1">
      <c r="A9" s="19" t="s">
        <v>284</v>
      </c>
    </row>
    <row r="10" spans="1:19" ht="20.100000000000001" customHeight="1">
      <c r="A10" s="19"/>
    </row>
    <row r="11" spans="1:19" ht="48.75" customHeight="1">
      <c r="A11" s="420" t="s">
        <v>309</v>
      </c>
      <c r="B11" s="422" t="s">
        <v>98</v>
      </c>
      <c r="C11" s="455"/>
      <c r="D11" s="422" t="s">
        <v>521</v>
      </c>
      <c r="E11" s="472"/>
      <c r="F11" s="455"/>
      <c r="G11" s="452" t="s">
        <v>522</v>
      </c>
      <c r="H11" s="453"/>
      <c r="I11" s="455"/>
      <c r="J11" s="422" t="s">
        <v>548</v>
      </c>
      <c r="K11" s="472"/>
      <c r="L11" s="472"/>
      <c r="M11" s="452" t="s">
        <v>523</v>
      </c>
      <c r="N11" s="453"/>
      <c r="O11" s="454"/>
      <c r="P11" s="27"/>
      <c r="Q11" s="27"/>
      <c r="R11" s="27"/>
      <c r="S11" s="27"/>
    </row>
    <row r="12" spans="1:19" ht="99">
      <c r="A12" s="471"/>
      <c r="B12" s="304" t="s">
        <v>40</v>
      </c>
      <c r="C12" s="304" t="s">
        <v>41</v>
      </c>
      <c r="D12" s="294" t="s">
        <v>99</v>
      </c>
      <c r="E12" s="294" t="s">
        <v>100</v>
      </c>
      <c r="F12" s="294" t="s">
        <v>234</v>
      </c>
      <c r="G12" s="294" t="s">
        <v>99</v>
      </c>
      <c r="H12" s="294" t="s">
        <v>100</v>
      </c>
      <c r="I12" s="294" t="s">
        <v>234</v>
      </c>
      <c r="J12" s="294" t="s">
        <v>99</v>
      </c>
      <c r="K12" s="294" t="s">
        <v>100</v>
      </c>
      <c r="L12" s="294" t="s">
        <v>234</v>
      </c>
      <c r="M12" s="294" t="s">
        <v>99</v>
      </c>
      <c r="N12" s="294" t="s">
        <v>100</v>
      </c>
      <c r="O12" s="294" t="s">
        <v>234</v>
      </c>
      <c r="P12" s="27"/>
      <c r="Q12" s="27"/>
      <c r="R12" s="27"/>
      <c r="S12" s="27"/>
    </row>
    <row r="13" spans="1:19" ht="18" customHeight="1">
      <c r="A13" s="302">
        <v>1</v>
      </c>
      <c r="B13" s="304">
        <v>2</v>
      </c>
      <c r="C13" s="304">
        <v>3</v>
      </c>
      <c r="D13" s="304">
        <v>4</v>
      </c>
      <c r="E13" s="304">
        <v>5</v>
      </c>
      <c r="F13" s="304">
        <v>6</v>
      </c>
      <c r="G13" s="304">
        <v>7</v>
      </c>
      <c r="H13" s="304">
        <v>8</v>
      </c>
      <c r="I13" s="304">
        <v>9</v>
      </c>
      <c r="J13" s="304">
        <v>10</v>
      </c>
      <c r="K13" s="304">
        <v>11</v>
      </c>
      <c r="L13" s="304">
        <v>12</v>
      </c>
      <c r="M13" s="304">
        <v>13</v>
      </c>
      <c r="N13" s="304">
        <v>14</v>
      </c>
      <c r="O13" s="304">
        <v>15</v>
      </c>
      <c r="P13" s="309"/>
      <c r="Q13" s="309"/>
      <c r="R13" s="309"/>
      <c r="S13" s="309"/>
    </row>
    <row r="14" spans="1:19" ht="41.25" customHeight="1">
      <c r="A14" s="249" t="s">
        <v>524</v>
      </c>
      <c r="B14" s="234">
        <f>D14/D16</f>
        <v>0.86579443967671277</v>
      </c>
      <c r="C14" s="234">
        <f>M14/M16</f>
        <v>0.89990240236701335</v>
      </c>
      <c r="D14" s="9">
        <f>[37]Розшиф!C7</f>
        <v>417950.11</v>
      </c>
      <c r="E14" s="9">
        <f>'[39]5. Інша інформація'!$E$40</f>
        <v>311.34647000000001</v>
      </c>
      <c r="F14" s="9">
        <f>D14/E14</f>
        <v>1342.3955312549392</v>
      </c>
      <c r="G14" s="9">
        <f>'[38]5. Інш інфор'!$J$42</f>
        <v>464983.48258234462</v>
      </c>
      <c r="H14" s="9">
        <f>'[38]5. Інш інфор'!K42</f>
        <v>360.2</v>
      </c>
      <c r="I14" s="9">
        <f>G14/H14</f>
        <v>1290.9036162752489</v>
      </c>
      <c r="J14" s="9">
        <v>264715.42</v>
      </c>
      <c r="K14" s="9">
        <v>219.071</v>
      </c>
      <c r="L14" s="9">
        <f>J14/K14</f>
        <v>1208.3544604260719</v>
      </c>
      <c r="M14" s="9">
        <f>[37]Розшиф!K7</f>
        <v>866988.09501607274</v>
      </c>
      <c r="N14" s="9">
        <f>H14</f>
        <v>360.2</v>
      </c>
      <c r="O14" s="9">
        <f>M14/N14</f>
        <v>2406.9630622322952</v>
      </c>
      <c r="P14" s="251"/>
      <c r="Q14" s="41"/>
      <c r="R14" s="41"/>
      <c r="S14" s="41"/>
    </row>
    <row r="15" spans="1:19" ht="56.25" customHeight="1">
      <c r="A15" s="249" t="s">
        <v>525</v>
      </c>
      <c r="B15" s="234">
        <f>D15/D16</f>
        <v>0.13420556032328729</v>
      </c>
      <c r="C15" s="234">
        <f>M15/M16</f>
        <v>0.10009759763298665</v>
      </c>
      <c r="D15" s="247">
        <f>[37]Розшиф!C8</f>
        <v>64785.85</v>
      </c>
      <c r="E15" s="247">
        <f>+'[39]5. Інша інформація'!$E$41</f>
        <v>352.4</v>
      </c>
      <c r="F15" s="247">
        <f>D15/E15</f>
        <v>183.84179909194097</v>
      </c>
      <c r="G15" s="247">
        <f>'[38]5. Інш інфор'!$J$43+'[38]5. Інш інфор'!$J$44</f>
        <v>87635.534711550121</v>
      </c>
      <c r="H15" s="247">
        <f>'[38]5. Інш інфор'!K43</f>
        <v>440.9</v>
      </c>
      <c r="I15" s="247">
        <f>G15/H15</f>
        <v>198.76510481186239</v>
      </c>
      <c r="J15" s="247">
        <v>54400.38</v>
      </c>
      <c r="K15" s="247">
        <v>298.46454999999997</v>
      </c>
      <c r="L15" s="247">
        <f>J15/K15</f>
        <v>182.26747531658282</v>
      </c>
      <c r="M15" s="247">
        <f>[37]Розшиф!K8+[37]Розшиф!K9</f>
        <v>96436.486066980142</v>
      </c>
      <c r="N15" s="247">
        <f>H15</f>
        <v>440.9</v>
      </c>
      <c r="O15" s="9">
        <f>M15/N15</f>
        <v>218.72643698566603</v>
      </c>
      <c r="P15" s="41"/>
      <c r="Q15" s="41"/>
      <c r="R15" s="41"/>
      <c r="S15" s="41"/>
    </row>
    <row r="16" spans="1:19" s="12" customFormat="1" ht="21.75" customHeight="1">
      <c r="A16" s="219" t="s">
        <v>27</v>
      </c>
      <c r="B16" s="250">
        <v>100</v>
      </c>
      <c r="C16" s="250">
        <v>100</v>
      </c>
      <c r="D16" s="248">
        <f>D14+D15</f>
        <v>482735.95999999996</v>
      </c>
      <c r="E16" s="248">
        <f>E14+E15</f>
        <v>663.74647000000004</v>
      </c>
      <c r="F16" s="248"/>
      <c r="G16" s="248">
        <f>G14+G15</f>
        <v>552619.01729389478</v>
      </c>
      <c r="H16" s="248">
        <f>H14+H15</f>
        <v>801.09999999999991</v>
      </c>
      <c r="I16" s="248"/>
      <c r="J16" s="248">
        <f>J14+J15</f>
        <v>319115.8</v>
      </c>
      <c r="K16" s="248">
        <f>K14+K15</f>
        <v>517.53554999999994</v>
      </c>
      <c r="L16" s="248"/>
      <c r="M16" s="248">
        <f>M14+M15</f>
        <v>963424.58108305291</v>
      </c>
      <c r="N16" s="248">
        <f>N14+N15</f>
        <v>801.09999999999991</v>
      </c>
      <c r="O16" s="248"/>
      <c r="P16" s="291"/>
      <c r="Q16" s="291"/>
      <c r="R16" s="291"/>
      <c r="S16" s="291"/>
    </row>
    <row r="17" spans="1:19" ht="21.95" customHeight="1">
      <c r="A17" s="15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</row>
    <row r="18" spans="1:19" ht="20.100000000000001" customHeight="1">
      <c r="A18" s="291" t="s">
        <v>235</v>
      </c>
      <c r="B18" s="13"/>
      <c r="C18" s="13"/>
      <c r="D18" s="13"/>
      <c r="E18" s="291"/>
      <c r="F18" s="291"/>
      <c r="G18" s="291"/>
      <c r="H18" s="291"/>
      <c r="I18" s="291"/>
      <c r="J18" s="291"/>
      <c r="K18" s="291"/>
      <c r="L18" s="291"/>
      <c r="M18" s="291"/>
    </row>
    <row r="19" spans="1:19" ht="20.100000000000001" customHeight="1">
      <c r="A19" s="291"/>
      <c r="B19" s="13"/>
      <c r="C19" s="13"/>
      <c r="D19" s="13"/>
      <c r="E19" s="291"/>
      <c r="F19" s="291"/>
      <c r="G19" s="291"/>
      <c r="H19" s="291"/>
      <c r="I19" s="291"/>
      <c r="J19" s="291"/>
      <c r="K19" s="291"/>
      <c r="L19" s="291" t="s">
        <v>519</v>
      </c>
      <c r="M19" s="291"/>
    </row>
    <row r="20" spans="1:19" ht="32.25" customHeight="1">
      <c r="A20" s="418" t="s">
        <v>305</v>
      </c>
      <c r="B20" s="452" t="s">
        <v>535</v>
      </c>
      <c r="C20" s="453"/>
      <c r="D20" s="454"/>
      <c r="E20" s="466" t="s">
        <v>103</v>
      </c>
      <c r="F20" s="460" t="s">
        <v>102</v>
      </c>
      <c r="G20" s="469"/>
      <c r="H20" s="469"/>
      <c r="I20" s="469"/>
      <c r="J20" s="461"/>
      <c r="K20" s="460" t="s">
        <v>517</v>
      </c>
      <c r="L20" s="463"/>
      <c r="M20" s="464"/>
      <c r="N20" s="27"/>
      <c r="O20" s="27"/>
    </row>
    <row r="21" spans="1:19" ht="18" customHeight="1">
      <c r="A21" s="456"/>
      <c r="B21" s="418" t="s">
        <v>27</v>
      </c>
      <c r="C21" s="460" t="s">
        <v>51</v>
      </c>
      <c r="D21" s="461"/>
      <c r="E21" s="468"/>
      <c r="F21" s="466" t="s">
        <v>236</v>
      </c>
      <c r="G21" s="466" t="s">
        <v>239</v>
      </c>
      <c r="H21" s="466" t="s">
        <v>240</v>
      </c>
      <c r="I21" s="458" t="s">
        <v>241</v>
      </c>
      <c r="J21" s="420" t="s">
        <v>242</v>
      </c>
      <c r="K21" s="418" t="s">
        <v>27</v>
      </c>
      <c r="L21" s="452" t="s">
        <v>51</v>
      </c>
      <c r="M21" s="454"/>
      <c r="N21" s="309"/>
      <c r="O21" s="309"/>
    </row>
    <row r="22" spans="1:19" ht="55.5" customHeight="1">
      <c r="A22" s="457"/>
      <c r="B22" s="462"/>
      <c r="C22" s="304" t="s">
        <v>237</v>
      </c>
      <c r="D22" s="304" t="s">
        <v>238</v>
      </c>
      <c r="E22" s="467"/>
      <c r="F22" s="467"/>
      <c r="G22" s="465"/>
      <c r="H22" s="467"/>
      <c r="I22" s="459"/>
      <c r="J22" s="467"/>
      <c r="K22" s="465"/>
      <c r="L22" s="298" t="s">
        <v>237</v>
      </c>
      <c r="M22" s="298" t="s">
        <v>238</v>
      </c>
      <c r="N22" s="41"/>
      <c r="O22" s="41"/>
    </row>
    <row r="23" spans="1:19">
      <c r="A23" s="302">
        <v>1</v>
      </c>
      <c r="B23" s="66">
        <v>2</v>
      </c>
      <c r="C23" s="66">
        <v>3</v>
      </c>
      <c r="D23" s="66">
        <v>4</v>
      </c>
      <c r="E23" s="302">
        <v>5</v>
      </c>
      <c r="F23" s="302">
        <v>6</v>
      </c>
      <c r="G23" s="302">
        <v>7</v>
      </c>
      <c r="H23" s="302">
        <v>8</v>
      </c>
      <c r="I23" s="302">
        <v>9</v>
      </c>
      <c r="J23" s="302">
        <v>10</v>
      </c>
      <c r="K23" s="302">
        <v>11</v>
      </c>
      <c r="L23" s="302">
        <v>12</v>
      </c>
      <c r="M23" s="302">
        <v>13</v>
      </c>
    </row>
    <row r="24" spans="1:19" s="12" customFormat="1" ht="54.75" customHeight="1">
      <c r="A24" s="366" t="s">
        <v>243</v>
      </c>
      <c r="B24" s="245">
        <f>B25</f>
        <v>165572.51228999998</v>
      </c>
      <c r="C24" s="245">
        <f t="shared" ref="C24:M24" si="0">C25</f>
        <v>165572.51228999998</v>
      </c>
      <c r="D24" s="245">
        <f t="shared" si="0"/>
        <v>0</v>
      </c>
      <c r="E24" s="245">
        <f t="shared" si="0"/>
        <v>0</v>
      </c>
      <c r="F24" s="245">
        <f t="shared" si="0"/>
        <v>27775.525513751996</v>
      </c>
      <c r="G24" s="245">
        <f t="shared" si="0"/>
        <v>0</v>
      </c>
      <c r="H24" s="245">
        <f t="shared" si="0"/>
        <v>0</v>
      </c>
      <c r="I24" s="245">
        <f t="shared" si="0"/>
        <v>0</v>
      </c>
      <c r="J24" s="245">
        <f t="shared" si="0"/>
        <v>0</v>
      </c>
      <c r="K24" s="245">
        <f t="shared" si="0"/>
        <v>137796.986776248</v>
      </c>
      <c r="L24" s="245">
        <f t="shared" si="0"/>
        <v>137796.986776248</v>
      </c>
      <c r="M24" s="245">
        <f t="shared" si="0"/>
        <v>0</v>
      </c>
    </row>
    <row r="25" spans="1:19" ht="37.5">
      <c r="A25" s="367" t="s">
        <v>518</v>
      </c>
      <c r="B25" s="244">
        <f>C25+D25</f>
        <v>165572.51228999998</v>
      </c>
      <c r="C25" s="244">
        <f>163038.4+27173.21229-24639.1</f>
        <v>165572.51228999998</v>
      </c>
      <c r="D25" s="244"/>
      <c r="E25" s="244">
        <v>0</v>
      </c>
      <c r="F25" s="244">
        <f>391.09662*2*[37]Розшиф!J155</f>
        <v>27775.525513751996</v>
      </c>
      <c r="G25" s="244"/>
      <c r="H25" s="244"/>
      <c r="I25" s="244">
        <v>0</v>
      </c>
      <c r="J25" s="244">
        <v>0</v>
      </c>
      <c r="K25" s="244">
        <f>L25+M25</f>
        <v>137796.986776248</v>
      </c>
      <c r="L25" s="244">
        <f>C25+E25-F25</f>
        <v>137796.986776248</v>
      </c>
      <c r="M25" s="244">
        <v>0</v>
      </c>
      <c r="N25" s="121"/>
    </row>
    <row r="26" spans="1:19" s="12" customFormat="1" ht="39.75" customHeight="1">
      <c r="A26" s="366" t="s">
        <v>244</v>
      </c>
      <c r="B26" s="245">
        <f>B27</f>
        <v>5700</v>
      </c>
      <c r="C26" s="245">
        <f t="shared" ref="C26:M26" si="1">C27</f>
        <v>5700</v>
      </c>
      <c r="D26" s="245">
        <f t="shared" si="1"/>
        <v>0</v>
      </c>
      <c r="E26" s="245">
        <f t="shared" si="1"/>
        <v>5700</v>
      </c>
      <c r="F26" s="245">
        <f t="shared" si="1"/>
        <v>5700</v>
      </c>
      <c r="G26" s="245">
        <f t="shared" si="1"/>
        <v>0</v>
      </c>
      <c r="H26" s="245">
        <f t="shared" si="1"/>
        <v>0</v>
      </c>
      <c r="I26" s="245">
        <f t="shared" si="1"/>
        <v>0</v>
      </c>
      <c r="J26" s="245">
        <f t="shared" si="1"/>
        <v>0</v>
      </c>
      <c r="K26" s="245">
        <f t="shared" si="1"/>
        <v>0</v>
      </c>
      <c r="L26" s="245">
        <f t="shared" si="1"/>
        <v>0</v>
      </c>
      <c r="M26" s="245">
        <f t="shared" si="1"/>
        <v>0</v>
      </c>
      <c r="N26" s="314"/>
    </row>
    <row r="27" spans="1:19" ht="35.25" customHeight="1">
      <c r="A27" s="367" t="s">
        <v>549</v>
      </c>
      <c r="B27" s="244">
        <f>C27</f>
        <v>5700</v>
      </c>
      <c r="C27" s="244">
        <v>5700</v>
      </c>
      <c r="D27" s="244"/>
      <c r="E27" s="244">
        <f>F27</f>
        <v>5700</v>
      </c>
      <c r="F27" s="244">
        <v>5700</v>
      </c>
      <c r="G27" s="244"/>
      <c r="H27" s="244"/>
      <c r="I27" s="244"/>
      <c r="J27" s="244"/>
      <c r="K27" s="244"/>
      <c r="L27" s="244"/>
      <c r="M27" s="244"/>
    </row>
    <row r="28" spans="1:19" s="12" customFormat="1" ht="39" customHeight="1">
      <c r="A28" s="366" t="s">
        <v>245</v>
      </c>
      <c r="B28" s="245">
        <f>C28+D28</f>
        <v>16754.013269999996</v>
      </c>
      <c r="C28" s="245">
        <f>C29</f>
        <v>16754.013269999996</v>
      </c>
      <c r="D28" s="245">
        <f t="shared" ref="D28:M28" si="2">D29</f>
        <v>0</v>
      </c>
      <c r="E28" s="245">
        <f t="shared" si="2"/>
        <v>3000</v>
      </c>
      <c r="F28" s="245">
        <f t="shared" si="2"/>
        <v>8924.2535800000005</v>
      </c>
      <c r="G28" s="245">
        <f t="shared" si="2"/>
        <v>0</v>
      </c>
      <c r="H28" s="245">
        <f t="shared" si="2"/>
        <v>0</v>
      </c>
      <c r="I28" s="245">
        <f t="shared" si="2"/>
        <v>0</v>
      </c>
      <c r="J28" s="245">
        <f t="shared" si="2"/>
        <v>0</v>
      </c>
      <c r="K28" s="245">
        <f t="shared" si="2"/>
        <v>10829.759689999995</v>
      </c>
      <c r="L28" s="245">
        <f t="shared" si="2"/>
        <v>10829.759689999995</v>
      </c>
      <c r="M28" s="245">
        <f t="shared" si="2"/>
        <v>0</v>
      </c>
    </row>
    <row r="29" spans="1:19" ht="30" customHeight="1">
      <c r="A29" s="368" t="s">
        <v>520</v>
      </c>
      <c r="B29" s="244">
        <f>C29+D29</f>
        <v>16754.013269999996</v>
      </c>
      <c r="C29" s="244">
        <f>4112.90944+2843.54576+18592.1-'III. Рух грошових коштів'!E82</f>
        <v>16754.013269999996</v>
      </c>
      <c r="D29" s="244"/>
      <c r="E29" s="244">
        <f>'VI. Інформація до фінплану2'!H10</f>
        <v>3000</v>
      </c>
      <c r="F29" s="244">
        <f>'III. Рух грошових коштів'!F82</f>
        <v>8924.2535800000005</v>
      </c>
      <c r="G29" s="244"/>
      <c r="H29" s="244"/>
      <c r="I29" s="244">
        <v>0</v>
      </c>
      <c r="J29" s="244">
        <v>0</v>
      </c>
      <c r="K29" s="244">
        <f>L29</f>
        <v>10829.759689999995</v>
      </c>
      <c r="L29" s="244">
        <f>C29+E29-F29</f>
        <v>10829.759689999995</v>
      </c>
      <c r="M29" s="244">
        <v>0</v>
      </c>
    </row>
    <row r="30" spans="1:19" ht="30.75" customHeight="1">
      <c r="A30" s="65" t="s">
        <v>246</v>
      </c>
      <c r="B30" s="254">
        <f>B24+B26+B28</f>
        <v>188026.52555999998</v>
      </c>
      <c r="C30" s="254">
        <f t="shared" ref="C30:M30" si="3">C24+C26+C28</f>
        <v>188026.52555999998</v>
      </c>
      <c r="D30" s="254">
        <f t="shared" si="3"/>
        <v>0</v>
      </c>
      <c r="E30" s="254">
        <f t="shared" si="3"/>
        <v>8700</v>
      </c>
      <c r="F30" s="254">
        <f t="shared" si="3"/>
        <v>42399.779093752004</v>
      </c>
      <c r="G30" s="254">
        <f t="shared" si="3"/>
        <v>0</v>
      </c>
      <c r="H30" s="254">
        <f t="shared" si="3"/>
        <v>0</v>
      </c>
      <c r="I30" s="254">
        <f t="shared" si="3"/>
        <v>0</v>
      </c>
      <c r="J30" s="254">
        <f t="shared" si="3"/>
        <v>0</v>
      </c>
      <c r="K30" s="254">
        <f t="shared" si="3"/>
        <v>148626.74646624801</v>
      </c>
      <c r="L30" s="254">
        <f t="shared" si="3"/>
        <v>148626.74646624801</v>
      </c>
      <c r="M30" s="254">
        <f t="shared" si="3"/>
        <v>0</v>
      </c>
    </row>
    <row r="32" spans="1:19" s="314" customFormat="1" ht="58.5" customHeight="1">
      <c r="A32" s="314" t="s">
        <v>368</v>
      </c>
      <c r="B32" s="246"/>
      <c r="C32" s="246"/>
      <c r="D32" s="246"/>
      <c r="E32" s="314" t="s">
        <v>52</v>
      </c>
      <c r="I32" s="314" t="s">
        <v>369</v>
      </c>
    </row>
  </sheetData>
  <mergeCells count="28">
    <mergeCell ref="A2:J2"/>
    <mergeCell ref="A11:A12"/>
    <mergeCell ref="D11:F11"/>
    <mergeCell ref="G11:I11"/>
    <mergeCell ref="J11:L11"/>
    <mergeCell ref="A3:G3"/>
    <mergeCell ref="B7:D7"/>
    <mergeCell ref="B6:D6"/>
    <mergeCell ref="B5:D5"/>
    <mergeCell ref="E7:H7"/>
    <mergeCell ref="E6:H6"/>
    <mergeCell ref="E5:H5"/>
    <mergeCell ref="M11:O11"/>
    <mergeCell ref="B11:C11"/>
    <mergeCell ref="B20:D20"/>
    <mergeCell ref="A20:A22"/>
    <mergeCell ref="I21:I22"/>
    <mergeCell ref="C21:D21"/>
    <mergeCell ref="B21:B22"/>
    <mergeCell ref="L21:M21"/>
    <mergeCell ref="K20:M20"/>
    <mergeCell ref="K21:K22"/>
    <mergeCell ref="G21:G22"/>
    <mergeCell ref="H21:H22"/>
    <mergeCell ref="E20:E22"/>
    <mergeCell ref="F21:F22"/>
    <mergeCell ref="J21:J22"/>
    <mergeCell ref="F20:J20"/>
  </mergeCells>
  <phoneticPr fontId="3" type="noConversion"/>
  <printOptions horizontalCentered="1"/>
  <pageMargins left="0.11811023622047245" right="0" top="0.59055118110236227" bottom="0.19685039370078741" header="0.27559055118110237" footer="0.19685039370078741"/>
  <pageSetup paperSize="9" scale="50" fitToHeight="0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2:AA45"/>
  <sheetViews>
    <sheetView zoomScale="75" zoomScaleNormal="75" zoomScaleSheetLayoutView="75" workbookViewId="0">
      <selection activeCell="AB7" sqref="AB1:AB1048576"/>
    </sheetView>
  </sheetViews>
  <sheetFormatPr defaultRowHeight="12.75" outlineLevelRow="1"/>
  <cols>
    <col min="1" max="1" width="10.5703125" style="369" customWidth="1"/>
    <col min="2" max="2" width="56.85546875" style="369" customWidth="1"/>
    <col min="3" max="3" width="13.7109375" style="81" customWidth="1"/>
    <col min="4" max="7" width="10.42578125" style="81" customWidth="1"/>
    <col min="8" max="8" width="20.42578125" style="81" customWidth="1"/>
    <col min="9" max="9" width="11.42578125" style="81" customWidth="1"/>
    <col min="10" max="11" width="11.5703125" style="81" customWidth="1"/>
    <col min="12" max="12" width="14.28515625" style="81" customWidth="1"/>
    <col min="13" max="13" width="13.85546875" style="81" customWidth="1"/>
    <col min="14" max="14" width="11" style="81" customWidth="1"/>
    <col min="15" max="15" width="10.28515625" style="81" customWidth="1"/>
    <col min="16" max="16" width="10.28515625" style="369" customWidth="1"/>
    <col min="17" max="17" width="11.28515625" style="369" customWidth="1"/>
    <col min="18" max="18" width="13.42578125" style="369" hidden="1" customWidth="1"/>
    <col min="19" max="22" width="9.140625" style="369" hidden="1" customWidth="1"/>
    <col min="23" max="23" width="15.5703125" style="369" customWidth="1"/>
    <col min="24" max="24" width="11.42578125" style="369" customWidth="1"/>
    <col min="25" max="26" width="10.42578125" style="369" customWidth="1"/>
    <col min="27" max="27" width="14.5703125" style="369" customWidth="1"/>
    <col min="28" max="16384" width="9.140625" style="369"/>
  </cols>
  <sheetData>
    <row r="2" spans="1:27" ht="18.75">
      <c r="A2" s="507" t="s">
        <v>247</v>
      </c>
      <c r="B2" s="507"/>
      <c r="C2" s="178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2"/>
      <c r="Q2" s="2"/>
    </row>
    <row r="3" spans="1:27" ht="18.75">
      <c r="A3" s="2"/>
      <c r="B3" s="14"/>
      <c r="C3" s="267"/>
      <c r="D3" s="26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"/>
      <c r="Q3" s="2"/>
    </row>
    <row r="4" spans="1:27" ht="31.5" customHeight="1">
      <c r="A4" s="422" t="s">
        <v>248</v>
      </c>
      <c r="B4" s="433" t="s">
        <v>249</v>
      </c>
      <c r="C4" s="482" t="s">
        <v>250</v>
      </c>
      <c r="D4" s="499"/>
      <c r="E4" s="499"/>
      <c r="F4" s="499"/>
      <c r="G4" s="500"/>
      <c r="H4" s="482" t="s">
        <v>251</v>
      </c>
      <c r="I4" s="499"/>
      <c r="J4" s="499"/>
      <c r="K4" s="499"/>
      <c r="L4" s="500"/>
      <c r="M4" s="422" t="s">
        <v>252</v>
      </c>
      <c r="N4" s="472"/>
      <c r="O4" s="472"/>
      <c r="P4" s="472"/>
      <c r="Q4" s="455"/>
      <c r="R4" s="422" t="s">
        <v>253</v>
      </c>
      <c r="S4" s="472"/>
      <c r="T4" s="472"/>
      <c r="U4" s="472"/>
      <c r="V4" s="455"/>
      <c r="W4" s="422" t="s">
        <v>27</v>
      </c>
      <c r="X4" s="423"/>
      <c r="Y4" s="423"/>
      <c r="Z4" s="423"/>
      <c r="AA4" s="424"/>
    </row>
    <row r="5" spans="1:27" ht="18.75">
      <c r="A5" s="422"/>
      <c r="B5" s="503"/>
      <c r="C5" s="501" t="s">
        <v>61</v>
      </c>
      <c r="D5" s="482" t="s">
        <v>254</v>
      </c>
      <c r="E5" s="499"/>
      <c r="F5" s="499"/>
      <c r="G5" s="500"/>
      <c r="H5" s="501" t="s">
        <v>61</v>
      </c>
      <c r="I5" s="482" t="s">
        <v>254</v>
      </c>
      <c r="J5" s="499"/>
      <c r="K5" s="499"/>
      <c r="L5" s="500"/>
      <c r="M5" s="501" t="s">
        <v>61</v>
      </c>
      <c r="N5" s="433" t="s">
        <v>254</v>
      </c>
      <c r="O5" s="503"/>
      <c r="P5" s="503"/>
      <c r="Q5" s="503"/>
      <c r="R5" s="420" t="s">
        <v>61</v>
      </c>
      <c r="S5" s="422" t="s">
        <v>254</v>
      </c>
      <c r="T5" s="472"/>
      <c r="U5" s="472"/>
      <c r="V5" s="455"/>
      <c r="W5" s="420" t="s">
        <v>61</v>
      </c>
      <c r="X5" s="460" t="s">
        <v>254</v>
      </c>
      <c r="Y5" s="469"/>
      <c r="Z5" s="469"/>
      <c r="AA5" s="461"/>
    </row>
    <row r="6" spans="1:27" ht="18.75">
      <c r="A6" s="422"/>
      <c r="B6" s="503"/>
      <c r="C6" s="502"/>
      <c r="D6" s="311" t="s">
        <v>255</v>
      </c>
      <c r="E6" s="311" t="s">
        <v>256</v>
      </c>
      <c r="F6" s="311" t="s">
        <v>257</v>
      </c>
      <c r="G6" s="311" t="s">
        <v>258</v>
      </c>
      <c r="H6" s="502"/>
      <c r="I6" s="311" t="s">
        <v>255</v>
      </c>
      <c r="J6" s="311" t="s">
        <v>256</v>
      </c>
      <c r="K6" s="311" t="s">
        <v>257</v>
      </c>
      <c r="L6" s="311" t="s">
        <v>258</v>
      </c>
      <c r="M6" s="502"/>
      <c r="N6" s="311" t="s">
        <v>259</v>
      </c>
      <c r="O6" s="311" t="s">
        <v>260</v>
      </c>
      <c r="P6" s="304" t="s">
        <v>261</v>
      </c>
      <c r="Q6" s="304" t="s">
        <v>39</v>
      </c>
      <c r="R6" s="467"/>
      <c r="S6" s="304" t="s">
        <v>259</v>
      </c>
      <c r="T6" s="304" t="s">
        <v>260</v>
      </c>
      <c r="U6" s="304" t="s">
        <v>261</v>
      </c>
      <c r="V6" s="304" t="s">
        <v>39</v>
      </c>
      <c r="W6" s="467"/>
      <c r="X6" s="304" t="s">
        <v>259</v>
      </c>
      <c r="Y6" s="304" t="s">
        <v>260</v>
      </c>
      <c r="Z6" s="304" t="s">
        <v>261</v>
      </c>
      <c r="AA6" s="304" t="s">
        <v>39</v>
      </c>
    </row>
    <row r="7" spans="1:27" s="286" customFormat="1" ht="18.75">
      <c r="A7" s="176">
        <v>1</v>
      </c>
      <c r="B7" s="177">
        <v>2</v>
      </c>
      <c r="C7" s="268">
        <v>3</v>
      </c>
      <c r="D7" s="268">
        <v>4</v>
      </c>
      <c r="E7" s="268">
        <v>5</v>
      </c>
      <c r="F7" s="268">
        <v>6</v>
      </c>
      <c r="G7" s="268">
        <v>7</v>
      </c>
      <c r="H7" s="268">
        <v>8</v>
      </c>
      <c r="I7" s="268">
        <v>9</v>
      </c>
      <c r="J7" s="268">
        <v>10</v>
      </c>
      <c r="K7" s="268">
        <v>11</v>
      </c>
      <c r="L7" s="268">
        <v>12</v>
      </c>
      <c r="M7" s="268">
        <v>13</v>
      </c>
      <c r="N7" s="268">
        <v>14</v>
      </c>
      <c r="O7" s="268">
        <v>15</v>
      </c>
      <c r="P7" s="177">
        <v>16</v>
      </c>
      <c r="Q7" s="177">
        <v>17</v>
      </c>
      <c r="R7" s="177">
        <v>18</v>
      </c>
      <c r="S7" s="177">
        <v>19</v>
      </c>
      <c r="T7" s="177">
        <v>20</v>
      </c>
      <c r="U7" s="177">
        <v>21</v>
      </c>
      <c r="V7" s="177">
        <v>22</v>
      </c>
      <c r="W7" s="177">
        <v>23</v>
      </c>
      <c r="X7" s="177">
        <v>24</v>
      </c>
      <c r="Y7" s="177">
        <v>25</v>
      </c>
      <c r="Z7" s="177">
        <v>26</v>
      </c>
      <c r="AA7" s="177">
        <v>27</v>
      </c>
    </row>
    <row r="8" spans="1:27" ht="24.75" customHeight="1">
      <c r="A8" s="370" t="s">
        <v>263</v>
      </c>
      <c r="B8" s="371" t="s">
        <v>1</v>
      </c>
      <c r="C8" s="269">
        <f t="shared" ref="C8:C26" si="0">D8+E8+F8+G8</f>
        <v>0</v>
      </c>
      <c r="D8" s="372"/>
      <c r="E8" s="270"/>
      <c r="F8" s="271"/>
      <c r="G8" s="271"/>
      <c r="H8" s="90">
        <f t="shared" ref="H8:H15" si="1">I8+J8+K8+L8</f>
        <v>0</v>
      </c>
      <c r="I8" s="90"/>
      <c r="J8" s="90"/>
      <c r="K8" s="90"/>
      <c r="L8" s="90"/>
      <c r="M8" s="90">
        <f t="shared" ref="M8:M27" si="2">N8+O8+P8+Q8</f>
        <v>0</v>
      </c>
      <c r="N8" s="90"/>
      <c r="O8" s="90"/>
      <c r="P8" s="9"/>
      <c r="Q8" s="9"/>
      <c r="R8" s="9">
        <f t="shared" ref="R8:R26" si="3">S8+T8+U8+V8</f>
        <v>0</v>
      </c>
      <c r="S8" s="9"/>
      <c r="T8" s="9"/>
      <c r="U8" s="9"/>
      <c r="V8" s="9"/>
      <c r="W8" s="9">
        <f>SUM(X8:AA8)</f>
        <v>0</v>
      </c>
      <c r="X8" s="9">
        <f>D8+I8+S8+N8</f>
        <v>0</v>
      </c>
      <c r="Y8" s="9">
        <f t="shared" ref="Y8:AA8" si="4">E8+J8+T8+O8</f>
        <v>0</v>
      </c>
      <c r="Z8" s="9">
        <f t="shared" si="4"/>
        <v>0</v>
      </c>
      <c r="AA8" s="9">
        <f t="shared" si="4"/>
        <v>0</v>
      </c>
    </row>
    <row r="9" spans="1:27" s="287" customFormat="1" ht="24" customHeight="1">
      <c r="A9" s="288" t="s">
        <v>264</v>
      </c>
      <c r="B9" s="366" t="s">
        <v>483</v>
      </c>
      <c r="C9" s="275">
        <f t="shared" si="0"/>
        <v>0</v>
      </c>
      <c r="D9" s="289"/>
      <c r="E9" s="290"/>
      <c r="F9" s="290"/>
      <c r="G9" s="290"/>
      <c r="H9" s="274">
        <f>H10</f>
        <v>3000</v>
      </c>
      <c r="I9" s="274">
        <f>SUM(I10:I12)</f>
        <v>3000</v>
      </c>
      <c r="J9" s="274">
        <f t="shared" ref="J9:Q9" si="5">SUM(J10:J12)</f>
        <v>0</v>
      </c>
      <c r="K9" s="274">
        <f t="shared" si="5"/>
        <v>0</v>
      </c>
      <c r="L9" s="274">
        <f t="shared" si="5"/>
        <v>0</v>
      </c>
      <c r="M9" s="274">
        <f t="shared" si="5"/>
        <v>13278.253580000001</v>
      </c>
      <c r="N9" s="274">
        <f>SUM(N10:N12)</f>
        <v>3376.5048000000002</v>
      </c>
      <c r="O9" s="274">
        <f t="shared" si="5"/>
        <v>3458.4067599999998</v>
      </c>
      <c r="P9" s="44">
        <f t="shared" si="5"/>
        <v>3221.2497199999998</v>
      </c>
      <c r="Q9" s="44">
        <f t="shared" si="5"/>
        <v>3222.0923000000003</v>
      </c>
      <c r="R9" s="44">
        <f t="shared" si="3"/>
        <v>0</v>
      </c>
      <c r="S9" s="44"/>
      <c r="T9" s="44"/>
      <c r="U9" s="44"/>
      <c r="V9" s="44"/>
      <c r="W9" s="44">
        <f t="shared" ref="W9:W28" si="6">SUM(X9:AA9)</f>
        <v>16278.253580000001</v>
      </c>
      <c r="X9" s="44">
        <f>D9+I9+S9+N9</f>
        <v>6376.5048000000006</v>
      </c>
      <c r="Y9" s="44">
        <f t="shared" ref="Y9:Y27" si="7">E9+J9+T9+O9</f>
        <v>3458.4067599999998</v>
      </c>
      <c r="Z9" s="44">
        <f t="shared" ref="Z9:Z27" si="8">F9+K9+U9+P9</f>
        <v>3221.2497199999998</v>
      </c>
      <c r="AA9" s="44">
        <f t="shared" ref="AA9:AA27" si="9">G9+L9+V9+Q9</f>
        <v>3222.0923000000003</v>
      </c>
    </row>
    <row r="10" spans="1:27" s="286" customFormat="1" ht="57" customHeight="1">
      <c r="A10" s="373" t="s">
        <v>529</v>
      </c>
      <c r="B10" s="374" t="s">
        <v>550</v>
      </c>
      <c r="C10" s="375"/>
      <c r="D10" s="376"/>
      <c r="E10" s="377"/>
      <c r="F10" s="377"/>
      <c r="G10" s="377"/>
      <c r="H10" s="378">
        <v>3000</v>
      </c>
      <c r="I10" s="379">
        <f>H10</f>
        <v>3000</v>
      </c>
      <c r="J10" s="379"/>
      <c r="K10" s="379"/>
      <c r="L10" s="379"/>
      <c r="M10" s="379">
        <f t="shared" ref="M10:M12" si="10">N10+O10+P10+Q10</f>
        <v>0</v>
      </c>
      <c r="N10" s="379"/>
      <c r="O10" s="379"/>
      <c r="P10" s="340"/>
      <c r="Q10" s="340"/>
      <c r="R10" s="340"/>
      <c r="S10" s="340"/>
      <c r="T10" s="340"/>
      <c r="U10" s="340"/>
      <c r="V10" s="340"/>
      <c r="W10" s="340">
        <f t="shared" si="6"/>
        <v>3000</v>
      </c>
      <c r="X10" s="340">
        <f t="shared" ref="X10:X27" si="11">D10+I10+S10+N10</f>
        <v>3000</v>
      </c>
      <c r="Y10" s="340">
        <f t="shared" si="7"/>
        <v>0</v>
      </c>
      <c r="Z10" s="340">
        <f t="shared" si="8"/>
        <v>0</v>
      </c>
      <c r="AA10" s="340">
        <f t="shared" si="9"/>
        <v>0</v>
      </c>
    </row>
    <row r="11" spans="1:27" s="286" customFormat="1" ht="42.75" customHeight="1">
      <c r="A11" s="373" t="s">
        <v>530</v>
      </c>
      <c r="B11" s="374" t="s">
        <v>484</v>
      </c>
      <c r="C11" s="375"/>
      <c r="D11" s="376"/>
      <c r="E11" s="377"/>
      <c r="F11" s="377"/>
      <c r="G11" s="377"/>
      <c r="H11" s="379">
        <f t="shared" ref="H11:H12" si="12">I11+J11+K11+L11</f>
        <v>0</v>
      </c>
      <c r="I11" s="379"/>
      <c r="J11" s="379"/>
      <c r="K11" s="379"/>
      <c r="L11" s="379"/>
      <c r="M11" s="379">
        <f>N11+O11+P11+Q11</f>
        <v>7354</v>
      </c>
      <c r="N11" s="379">
        <f>'IV. Кап. інвестиції'!$E$34/4</f>
        <v>1838.5</v>
      </c>
      <c r="O11" s="379">
        <f>'IV. Кап. інвестиції'!$E$34/4</f>
        <v>1838.5</v>
      </c>
      <c r="P11" s="340">
        <f>'IV. Кап. інвестиції'!$E$34/4</f>
        <v>1838.5</v>
      </c>
      <c r="Q11" s="340">
        <f>'IV. Кап. інвестиції'!$E$34/4</f>
        <v>1838.5</v>
      </c>
      <c r="R11" s="340"/>
      <c r="S11" s="340"/>
      <c r="T11" s="340"/>
      <c r="U11" s="340"/>
      <c r="V11" s="340"/>
      <c r="W11" s="340">
        <f t="shared" si="6"/>
        <v>7354</v>
      </c>
      <c r="X11" s="340">
        <f t="shared" si="11"/>
        <v>1838.5</v>
      </c>
      <c r="Y11" s="340">
        <f t="shared" si="7"/>
        <v>1838.5</v>
      </c>
      <c r="Z11" s="340">
        <f t="shared" si="8"/>
        <v>1838.5</v>
      </c>
      <c r="AA11" s="340">
        <f t="shared" si="9"/>
        <v>1838.5</v>
      </c>
    </row>
    <row r="12" spans="1:27" s="286" customFormat="1" ht="42.75" customHeight="1">
      <c r="A12" s="373" t="s">
        <v>531</v>
      </c>
      <c r="B12" s="374" t="s">
        <v>485</v>
      </c>
      <c r="C12" s="375"/>
      <c r="D12" s="376"/>
      <c r="E12" s="377"/>
      <c r="F12" s="377"/>
      <c r="G12" s="377"/>
      <c r="H12" s="379">
        <f t="shared" si="12"/>
        <v>0</v>
      </c>
      <c r="I12" s="379"/>
      <c r="J12" s="379"/>
      <c r="K12" s="379"/>
      <c r="L12" s="379"/>
      <c r="M12" s="379">
        <f t="shared" si="10"/>
        <v>5924.2535800000005</v>
      </c>
      <c r="N12" s="379">
        <f>[40]свод!$L$24/1000+(3000/0.4-3000)/5/12*2</f>
        <v>1538.0048000000002</v>
      </c>
      <c r="O12" s="379">
        <f>[40]свод!$N$24/1000+(3000/0.4-3000)/5/12*3</f>
        <v>1619.9067600000001</v>
      </c>
      <c r="P12" s="340">
        <f>[40]свод!$P$24/1000+(3000/0.4-3000)/5/12*3</f>
        <v>1382.74972</v>
      </c>
      <c r="Q12" s="340">
        <f>[40]свод!$R$24/1000+(3000/0.4-3000)/5/12*3</f>
        <v>1383.5923</v>
      </c>
      <c r="R12" s="340"/>
      <c r="S12" s="340"/>
      <c r="T12" s="340"/>
      <c r="U12" s="340"/>
      <c r="V12" s="340"/>
      <c r="W12" s="340">
        <f t="shared" si="6"/>
        <v>5924.2535800000005</v>
      </c>
      <c r="X12" s="340">
        <f>D12+I12+S12+N12</f>
        <v>1538.0048000000002</v>
      </c>
      <c r="Y12" s="340">
        <f t="shared" si="7"/>
        <v>1619.9067600000001</v>
      </c>
      <c r="Z12" s="340">
        <f t="shared" si="8"/>
        <v>1382.74972</v>
      </c>
      <c r="AA12" s="340">
        <f t="shared" si="9"/>
        <v>1383.5923</v>
      </c>
    </row>
    <row r="13" spans="1:27" s="287" customFormat="1" ht="41.25" customHeight="1">
      <c r="A13" s="288" t="s">
        <v>265</v>
      </c>
      <c r="B13" s="366" t="s">
        <v>14</v>
      </c>
      <c r="C13" s="275">
        <f t="shared" si="0"/>
        <v>0</v>
      </c>
      <c r="D13" s="289"/>
      <c r="E13" s="290"/>
      <c r="F13" s="290"/>
      <c r="G13" s="290"/>
      <c r="H13" s="274">
        <f>I13+J13+K13+L13</f>
        <v>0</v>
      </c>
      <c r="I13" s="274"/>
      <c r="J13" s="274"/>
      <c r="K13" s="274"/>
      <c r="L13" s="274"/>
      <c r="M13" s="274">
        <f>N13+O13+P13+Q13</f>
        <v>990</v>
      </c>
      <c r="N13" s="274">
        <f>990/4</f>
        <v>247.5</v>
      </c>
      <c r="O13" s="274">
        <f t="shared" ref="O13:Q13" si="13">990/4</f>
        <v>247.5</v>
      </c>
      <c r="P13" s="44">
        <f t="shared" si="13"/>
        <v>247.5</v>
      </c>
      <c r="Q13" s="44">
        <f t="shared" si="13"/>
        <v>247.5</v>
      </c>
      <c r="R13" s="44">
        <f t="shared" si="3"/>
        <v>0</v>
      </c>
      <c r="S13" s="44"/>
      <c r="T13" s="44"/>
      <c r="U13" s="44"/>
      <c r="V13" s="44"/>
      <c r="W13" s="44">
        <f t="shared" si="6"/>
        <v>990</v>
      </c>
      <c r="X13" s="44">
        <f t="shared" si="11"/>
        <v>247.5</v>
      </c>
      <c r="Y13" s="44">
        <f t="shared" si="7"/>
        <v>247.5</v>
      </c>
      <c r="Z13" s="44">
        <f t="shared" si="8"/>
        <v>247.5</v>
      </c>
      <c r="AA13" s="44">
        <f t="shared" si="9"/>
        <v>247.5</v>
      </c>
    </row>
    <row r="14" spans="1:27" ht="57" customHeight="1">
      <c r="A14" s="67" t="s">
        <v>267</v>
      </c>
      <c r="B14" s="367" t="s">
        <v>266</v>
      </c>
      <c r="C14" s="269">
        <f t="shared" si="0"/>
        <v>0</v>
      </c>
      <c r="D14" s="272"/>
      <c r="E14" s="273"/>
      <c r="F14" s="273"/>
      <c r="G14" s="273"/>
      <c r="H14" s="90">
        <f t="shared" si="1"/>
        <v>0</v>
      </c>
      <c r="I14" s="90"/>
      <c r="J14" s="90"/>
      <c r="K14" s="90"/>
      <c r="L14" s="90"/>
      <c r="M14" s="90">
        <f t="shared" si="2"/>
        <v>0</v>
      </c>
      <c r="N14" s="90"/>
      <c r="O14" s="90"/>
      <c r="P14" s="9"/>
      <c r="Q14" s="9"/>
      <c r="R14" s="9">
        <f t="shared" si="3"/>
        <v>0</v>
      </c>
      <c r="S14" s="9"/>
      <c r="T14" s="9"/>
      <c r="U14" s="9"/>
      <c r="V14" s="9"/>
      <c r="W14" s="9">
        <f t="shared" si="6"/>
        <v>0</v>
      </c>
      <c r="X14" s="9">
        <f t="shared" si="11"/>
        <v>0</v>
      </c>
      <c r="Y14" s="9">
        <f t="shared" si="7"/>
        <v>0</v>
      </c>
      <c r="Z14" s="9">
        <f t="shared" si="8"/>
        <v>0</v>
      </c>
      <c r="AA14" s="9">
        <f t="shared" si="9"/>
        <v>0</v>
      </c>
    </row>
    <row r="15" spans="1:27" s="287" customFormat="1" ht="42.75" customHeight="1">
      <c r="A15" s="288" t="s">
        <v>268</v>
      </c>
      <c r="B15" s="366" t="s">
        <v>482</v>
      </c>
      <c r="C15" s="275">
        <f t="shared" si="0"/>
        <v>0</v>
      </c>
      <c r="D15" s="289"/>
      <c r="E15" s="290"/>
      <c r="F15" s="290"/>
      <c r="G15" s="290"/>
      <c r="H15" s="274">
        <f t="shared" si="1"/>
        <v>0</v>
      </c>
      <c r="I15" s="274"/>
      <c r="J15" s="274"/>
      <c r="K15" s="274"/>
      <c r="L15" s="274"/>
      <c r="M15" s="274">
        <f>N15+O15+P15+Q15</f>
        <v>41655.894071999996</v>
      </c>
      <c r="N15" s="274">
        <f>N16+N25</f>
        <v>16988.594164536764</v>
      </c>
      <c r="O15" s="274">
        <f>O16+O25</f>
        <v>5713.4884819577182</v>
      </c>
      <c r="P15" s="44">
        <f>P16+P25</f>
        <v>5242.7041018125983</v>
      </c>
      <c r="Q15" s="44">
        <f>Q16+Q25</f>
        <v>13711.107323692917</v>
      </c>
      <c r="R15" s="44">
        <f t="shared" si="3"/>
        <v>0</v>
      </c>
      <c r="S15" s="44"/>
      <c r="T15" s="44"/>
      <c r="U15" s="44"/>
      <c r="V15" s="44"/>
      <c r="W15" s="44">
        <f t="shared" si="6"/>
        <v>41655.894071999996</v>
      </c>
      <c r="X15" s="44">
        <f>D15+I15+S15+N15</f>
        <v>16988.594164536764</v>
      </c>
      <c r="Y15" s="44">
        <f t="shared" si="7"/>
        <v>5713.4884819577182</v>
      </c>
      <c r="Z15" s="44">
        <f t="shared" si="8"/>
        <v>5242.7041018125983</v>
      </c>
      <c r="AA15" s="44">
        <f t="shared" si="9"/>
        <v>13711.107323692917</v>
      </c>
    </row>
    <row r="16" spans="1:27" s="386" customFormat="1" ht="31.5" customHeight="1">
      <c r="A16" s="380" t="s">
        <v>532</v>
      </c>
      <c r="B16" s="381" t="s">
        <v>544</v>
      </c>
      <c r="C16" s="382"/>
      <c r="D16" s="383"/>
      <c r="E16" s="384"/>
      <c r="F16" s="384"/>
      <c r="G16" s="384"/>
      <c r="H16" s="378"/>
      <c r="I16" s="378"/>
      <c r="J16" s="378"/>
      <c r="K16" s="378"/>
      <c r="L16" s="378"/>
      <c r="M16" s="378">
        <f>20386.71*1.2+M23+M24</f>
        <v>35655.892800000001</v>
      </c>
      <c r="N16" s="378">
        <f>SUM(N17:N24)</f>
        <v>15988.594164536764</v>
      </c>
      <c r="O16" s="378">
        <f t="shared" ref="O16:Q16" si="14">SUM(O17:O24)</f>
        <v>4213.4884819577182</v>
      </c>
      <c r="P16" s="378">
        <f t="shared" si="14"/>
        <v>3242.7041018125988</v>
      </c>
      <c r="Q16" s="378">
        <f t="shared" si="14"/>
        <v>12211.107323692917</v>
      </c>
      <c r="R16" s="385"/>
      <c r="S16" s="385"/>
      <c r="T16" s="385"/>
      <c r="U16" s="385"/>
      <c r="V16" s="385"/>
      <c r="W16" s="385">
        <f>SUM(X16:AA16)</f>
        <v>35655.894072000003</v>
      </c>
      <c r="X16" s="385">
        <f>D16+I16+S16+N16</f>
        <v>15988.594164536764</v>
      </c>
      <c r="Y16" s="385">
        <f t="shared" si="7"/>
        <v>4213.4884819577182</v>
      </c>
      <c r="Z16" s="385">
        <f t="shared" si="8"/>
        <v>3242.7041018125988</v>
      </c>
      <c r="AA16" s="385">
        <f t="shared" si="9"/>
        <v>12211.107323692917</v>
      </c>
    </row>
    <row r="17" spans="1:27" s="286" customFormat="1" ht="65.25" customHeight="1">
      <c r="A17" s="373" t="s">
        <v>551</v>
      </c>
      <c r="B17" s="374" t="s">
        <v>538</v>
      </c>
      <c r="C17" s="375"/>
      <c r="D17" s="376"/>
      <c r="E17" s="387"/>
      <c r="F17" s="387"/>
      <c r="G17" s="387"/>
      <c r="H17" s="379"/>
      <c r="I17" s="379"/>
      <c r="J17" s="379"/>
      <c r="K17" s="379"/>
      <c r="L17" s="379"/>
      <c r="M17" s="378">
        <v>7284.2111039999991</v>
      </c>
      <c r="N17" s="379">
        <f>$M$17/[37]Розшиф!$K$7*[37]Розшиф!$L$7</f>
        <v>3266.3406200246095</v>
      </c>
      <c r="O17" s="379">
        <f>$M$17/[37]Розшиф!$K$7*[37]Розшиф!$M$7</f>
        <v>860.78165716097976</v>
      </c>
      <c r="P17" s="340">
        <f>$M$17/[37]Розшиф!$K$7*[37]Розшиф!$N$7</f>
        <v>662.45825101770504</v>
      </c>
      <c r="Q17" s="340">
        <f>$M$17/[37]Розшиф!$K$7*[37]Розшиф!$O$7</f>
        <v>2494.6305757967043</v>
      </c>
      <c r="R17" s="340"/>
      <c r="S17" s="340"/>
      <c r="T17" s="340"/>
      <c r="U17" s="340"/>
      <c r="V17" s="340"/>
      <c r="W17" s="340">
        <f t="shared" ref="W17:W24" si="15">SUM(X17:AA17)</f>
        <v>7284.2111039999982</v>
      </c>
      <c r="X17" s="340">
        <f t="shared" ref="X17:X24" si="16">D17+I17+S17+N17</f>
        <v>3266.3406200246095</v>
      </c>
      <c r="Y17" s="340">
        <f t="shared" ref="Y17:Y24" si="17">E17+J17+T17+O17</f>
        <v>860.78165716097976</v>
      </c>
      <c r="Z17" s="340">
        <f t="shared" ref="Z17:Z24" si="18">F17+K17+U17+P17</f>
        <v>662.45825101770504</v>
      </c>
      <c r="AA17" s="340">
        <f t="shared" ref="AA17:AA24" si="19">G17+L17+V17+Q17</f>
        <v>2494.6305757967043</v>
      </c>
    </row>
    <row r="18" spans="1:27" s="286" customFormat="1" ht="65.25" customHeight="1">
      <c r="A18" s="373" t="s">
        <v>552</v>
      </c>
      <c r="B18" s="374" t="s">
        <v>539</v>
      </c>
      <c r="C18" s="375"/>
      <c r="D18" s="376"/>
      <c r="E18" s="387"/>
      <c r="F18" s="387"/>
      <c r="G18" s="387"/>
      <c r="H18" s="379"/>
      <c r="I18" s="379"/>
      <c r="J18" s="379"/>
      <c r="K18" s="379"/>
      <c r="L18" s="379"/>
      <c r="M18" s="378">
        <v>3196.2805680000001</v>
      </c>
      <c r="N18" s="379">
        <f>$M$18/[37]Розшиф!$K$7*[37]Розшиф!L7</f>
        <v>1433.2562446632976</v>
      </c>
      <c r="O18" s="379">
        <f>$M$18/[37]Розшиф!$K$7*[37]Розшиф!M7</f>
        <v>377.70729661632799</v>
      </c>
      <c r="P18" s="340">
        <f>$M$18/[37]Розшиф!$K$7*[37]Розшиф!N7</f>
        <v>290.68383722108518</v>
      </c>
      <c r="Q18" s="340">
        <f>$M$18/[37]Розшиф!$K$7*[37]Розшиф!O7</f>
        <v>1094.6331894992893</v>
      </c>
      <c r="R18" s="340"/>
      <c r="S18" s="340"/>
      <c r="T18" s="340"/>
      <c r="U18" s="340"/>
      <c r="V18" s="340"/>
      <c r="W18" s="340">
        <f t="shared" si="15"/>
        <v>3196.2805680000001</v>
      </c>
      <c r="X18" s="340">
        <f t="shared" si="16"/>
        <v>1433.2562446632976</v>
      </c>
      <c r="Y18" s="340">
        <f t="shared" si="17"/>
        <v>377.70729661632799</v>
      </c>
      <c r="Z18" s="340">
        <f t="shared" si="18"/>
        <v>290.68383722108518</v>
      </c>
      <c r="AA18" s="340">
        <f t="shared" si="19"/>
        <v>1094.6331894992893</v>
      </c>
    </row>
    <row r="19" spans="1:27" s="286" customFormat="1" ht="65.25" customHeight="1">
      <c r="A19" s="373" t="s">
        <v>553</v>
      </c>
      <c r="B19" s="374" t="s">
        <v>540</v>
      </c>
      <c r="C19" s="375"/>
      <c r="D19" s="376"/>
      <c r="E19" s="387"/>
      <c r="F19" s="387"/>
      <c r="G19" s="387"/>
      <c r="H19" s="379"/>
      <c r="I19" s="379"/>
      <c r="J19" s="379"/>
      <c r="K19" s="379"/>
      <c r="L19" s="379"/>
      <c r="M19" s="378">
        <v>820.87199999999996</v>
      </c>
      <c r="N19" s="379">
        <f>$M$19/[37]Розшиф!$K$7*[37]Розшиф!L7</f>
        <v>368.0903146764212</v>
      </c>
      <c r="O19" s="379">
        <f>$M$19/[37]Розшиф!$K$7*[37]Розшиф!M7</f>
        <v>97.003168962117968</v>
      </c>
      <c r="P19" s="340">
        <f>$M$19/[37]Розшиф!$K$7*[37]Розшиф!N7</f>
        <v>74.653716327742174</v>
      </c>
      <c r="Q19" s="340">
        <f>$M$19/[37]Розшиф!$K$7*[37]Розшиф!O7</f>
        <v>281.1248000337186</v>
      </c>
      <c r="R19" s="340"/>
      <c r="S19" s="340"/>
      <c r="T19" s="340"/>
      <c r="U19" s="340"/>
      <c r="V19" s="340"/>
      <c r="W19" s="340">
        <f t="shared" si="15"/>
        <v>820.87199999999984</v>
      </c>
      <c r="X19" s="340">
        <f t="shared" si="16"/>
        <v>368.0903146764212</v>
      </c>
      <c r="Y19" s="340">
        <f t="shared" si="17"/>
        <v>97.003168962117968</v>
      </c>
      <c r="Z19" s="340">
        <f t="shared" si="18"/>
        <v>74.653716327742174</v>
      </c>
      <c r="AA19" s="340">
        <f t="shared" si="19"/>
        <v>281.1248000337186</v>
      </c>
    </row>
    <row r="20" spans="1:27" s="286" customFormat="1" ht="71.25" customHeight="1">
      <c r="A20" s="373" t="s">
        <v>554</v>
      </c>
      <c r="B20" s="374" t="s">
        <v>541</v>
      </c>
      <c r="C20" s="375"/>
      <c r="D20" s="376"/>
      <c r="E20" s="387"/>
      <c r="F20" s="387"/>
      <c r="G20" s="387"/>
      <c r="H20" s="379"/>
      <c r="I20" s="379"/>
      <c r="J20" s="379"/>
      <c r="K20" s="379"/>
      <c r="L20" s="379"/>
      <c r="M20" s="378">
        <v>4627.0367999999999</v>
      </c>
      <c r="N20" s="379">
        <f>$M$20/[37]Розшиф!$K$7*[37]Розшиф!L7</f>
        <v>2074.8270518806598</v>
      </c>
      <c r="O20" s="379">
        <f>$M$20/[37]Розшиф!$K$7*[37]Розшиф!M7</f>
        <v>546.78102372152728</v>
      </c>
      <c r="P20" s="340">
        <f>$M$20/[37]Розшиф!$K$7*[37]Розшиф!N7</f>
        <v>420.80311267191945</v>
      </c>
      <c r="Q20" s="340">
        <f>$M$20/[37]Розшиф!$K$7*[37]Розшиф!O7</f>
        <v>1584.6256117258929</v>
      </c>
      <c r="R20" s="340"/>
      <c r="S20" s="340"/>
      <c r="T20" s="340"/>
      <c r="U20" s="340"/>
      <c r="V20" s="340"/>
      <c r="W20" s="340">
        <f t="shared" si="15"/>
        <v>4627.0367999999989</v>
      </c>
      <c r="X20" s="340">
        <f t="shared" si="16"/>
        <v>2074.8270518806598</v>
      </c>
      <c r="Y20" s="340">
        <f t="shared" si="17"/>
        <v>546.78102372152728</v>
      </c>
      <c r="Z20" s="340">
        <f t="shared" si="18"/>
        <v>420.80311267191945</v>
      </c>
      <c r="AA20" s="340">
        <f t="shared" si="19"/>
        <v>1584.6256117258929</v>
      </c>
    </row>
    <row r="21" spans="1:27" s="286" customFormat="1" ht="47.25" customHeight="1">
      <c r="A21" s="373" t="s">
        <v>555</v>
      </c>
      <c r="B21" s="374" t="s">
        <v>542</v>
      </c>
      <c r="C21" s="375"/>
      <c r="D21" s="376"/>
      <c r="E21" s="387"/>
      <c r="F21" s="387"/>
      <c r="G21" s="387"/>
      <c r="H21" s="379"/>
      <c r="I21" s="379"/>
      <c r="J21" s="379"/>
      <c r="K21" s="379"/>
      <c r="L21" s="379"/>
      <c r="M21" s="378">
        <v>7605.6288000000004</v>
      </c>
      <c r="N21" s="379">
        <f>$M$21/[37]Розшиф!$K$7*[37]Розшиф!L7</f>
        <v>3410.4687433656554</v>
      </c>
      <c r="O21" s="379">
        <f>$M$21/[37]Розшиф!$K$7*[37]Розшиф!M7</f>
        <v>898.76387006689299</v>
      </c>
      <c r="P21" s="340">
        <f>$M$21/[37]Розшиф!$K$7*[37]Розшиф!N7</f>
        <v>691.68939241356293</v>
      </c>
      <c r="Q21" s="340">
        <f>$M$21/[37]Розшиф!$K$7*[37]Розшиф!O7</f>
        <v>2604.7067941538894</v>
      </c>
      <c r="R21" s="340"/>
      <c r="S21" s="340"/>
      <c r="T21" s="340"/>
      <c r="U21" s="340"/>
      <c r="V21" s="340"/>
      <c r="W21" s="340">
        <f t="shared" si="15"/>
        <v>7605.6288000000004</v>
      </c>
      <c r="X21" s="340">
        <f t="shared" si="16"/>
        <v>3410.4687433656554</v>
      </c>
      <c r="Y21" s="340">
        <f t="shared" si="17"/>
        <v>898.76387006689299</v>
      </c>
      <c r="Z21" s="340">
        <f t="shared" si="18"/>
        <v>691.68939241356293</v>
      </c>
      <c r="AA21" s="340">
        <f t="shared" si="19"/>
        <v>2604.7067941538894</v>
      </c>
    </row>
    <row r="22" spans="1:27" s="286" customFormat="1" ht="60" customHeight="1">
      <c r="A22" s="373" t="s">
        <v>556</v>
      </c>
      <c r="B22" s="374" t="s">
        <v>543</v>
      </c>
      <c r="C22" s="375"/>
      <c r="D22" s="376"/>
      <c r="E22" s="387"/>
      <c r="F22" s="387"/>
      <c r="G22" s="387"/>
      <c r="H22" s="379"/>
      <c r="I22" s="379"/>
      <c r="J22" s="379"/>
      <c r="K22" s="379"/>
      <c r="L22" s="379"/>
      <c r="M22" s="378">
        <v>930.02399999999989</v>
      </c>
      <c r="N22" s="379">
        <f>$M$22/[37]Розшиф!$K$7*[37]Розшиф!L7</f>
        <v>417.03557535964666</v>
      </c>
      <c r="O22" s="379">
        <f>$M$22/[37]Розшиф!$K$7*[37]Розшиф!M7</f>
        <v>109.90175716899198</v>
      </c>
      <c r="P22" s="340">
        <f>$M$22/[37]Розшиф!$K$7*[37]Розшиф!N7</f>
        <v>84.58048011625695</v>
      </c>
      <c r="Q22" s="340">
        <f>$M$22/[37]Розшиф!$K$7*[37]Розшиф!O7</f>
        <v>318.50618735510415</v>
      </c>
      <c r="R22" s="340"/>
      <c r="S22" s="340"/>
      <c r="T22" s="340"/>
      <c r="U22" s="340"/>
      <c r="V22" s="340"/>
      <c r="W22" s="340">
        <f t="shared" si="15"/>
        <v>930.02399999999966</v>
      </c>
      <c r="X22" s="340">
        <f t="shared" si="16"/>
        <v>417.03557535964666</v>
      </c>
      <c r="Y22" s="340">
        <f t="shared" si="17"/>
        <v>109.90175716899198</v>
      </c>
      <c r="Z22" s="340">
        <f t="shared" si="18"/>
        <v>84.58048011625695</v>
      </c>
      <c r="AA22" s="340">
        <f t="shared" si="19"/>
        <v>318.50618735510415</v>
      </c>
    </row>
    <row r="23" spans="1:27" s="286" customFormat="1" ht="73.5" customHeight="1">
      <c r="A23" s="373" t="s">
        <v>560</v>
      </c>
      <c r="B23" s="374" t="s">
        <v>562</v>
      </c>
      <c r="C23" s="375"/>
      <c r="D23" s="376"/>
      <c r="E23" s="387"/>
      <c r="F23" s="387"/>
      <c r="G23" s="387"/>
      <c r="H23" s="379"/>
      <c r="I23" s="379"/>
      <c r="J23" s="379"/>
      <c r="K23" s="379"/>
      <c r="L23" s="379"/>
      <c r="M23" s="378">
        <f>[37]Розшиф!K186*1.2</f>
        <v>10135.8408</v>
      </c>
      <c r="N23" s="379">
        <f>$M$23/[37]Розшиф!$K$7*[37]Розшиф!$L$7</f>
        <v>4545.0506651245369</v>
      </c>
      <c r="O23" s="379">
        <f>$M$23/[37]Розшиф!$K$7*[37]Розшиф!$M$7</f>
        <v>1197.7612559516331</v>
      </c>
      <c r="P23" s="379">
        <f>$M$23/[37]Розшиф!$K$7*[37]Розшиф!$N$7</f>
        <v>921.79801945535394</v>
      </c>
      <c r="Q23" s="379">
        <f>$M$23/[37]Розшиф!$K$7*[37]Розшиф!$O$7</f>
        <v>3471.2308594684755</v>
      </c>
      <c r="R23" s="340"/>
      <c r="S23" s="340"/>
      <c r="T23" s="340"/>
      <c r="U23" s="340"/>
      <c r="V23" s="340"/>
      <c r="W23" s="340">
        <f t="shared" si="15"/>
        <v>10135.840799999998</v>
      </c>
      <c r="X23" s="340">
        <f t="shared" si="16"/>
        <v>4545.0506651245369</v>
      </c>
      <c r="Y23" s="340">
        <f t="shared" si="17"/>
        <v>1197.7612559516331</v>
      </c>
      <c r="Z23" s="340">
        <f t="shared" si="18"/>
        <v>921.79801945535394</v>
      </c>
      <c r="AA23" s="340">
        <f t="shared" si="19"/>
        <v>3471.2308594684755</v>
      </c>
    </row>
    <row r="24" spans="1:27" s="286" customFormat="1" ht="36" customHeight="1">
      <c r="A24" s="373" t="s">
        <v>561</v>
      </c>
      <c r="B24" s="374" t="s">
        <v>563</v>
      </c>
      <c r="C24" s="375"/>
      <c r="D24" s="376"/>
      <c r="E24" s="387"/>
      <c r="F24" s="387"/>
      <c r="G24" s="387"/>
      <c r="H24" s="379"/>
      <c r="I24" s="379"/>
      <c r="J24" s="379"/>
      <c r="K24" s="379"/>
      <c r="L24" s="379"/>
      <c r="M24" s="378">
        <f>[37]Розшиф!K187*1.2</f>
        <v>1056</v>
      </c>
      <c r="N24" s="379">
        <f>$M$24/[37]Розшиф!$K$7*[37]Розшиф!$L$7</f>
        <v>473.52494944193586</v>
      </c>
      <c r="O24" s="379">
        <f>$M$24/[37]Розшиф!$K$7*[37]Розшиф!$M$7</f>
        <v>124.78845230924745</v>
      </c>
      <c r="P24" s="340">
        <f>$M$24/[37]Розшиф!$K$7*[37]Розшиф!$N$7</f>
        <v>96.037292588973358</v>
      </c>
      <c r="Q24" s="340">
        <f>$M$24/[37]Розшиф!$K$7*[37]Розшиф!$O$7</f>
        <v>361.64930565984326</v>
      </c>
      <c r="R24" s="340"/>
      <c r="S24" s="340"/>
      <c r="T24" s="340"/>
      <c r="U24" s="340"/>
      <c r="V24" s="340"/>
      <c r="W24" s="340">
        <f t="shared" si="15"/>
        <v>1056</v>
      </c>
      <c r="X24" s="340">
        <f t="shared" si="16"/>
        <v>473.52494944193586</v>
      </c>
      <c r="Y24" s="340">
        <f t="shared" si="17"/>
        <v>124.78845230924745</v>
      </c>
      <c r="Z24" s="340">
        <f t="shared" si="18"/>
        <v>96.037292588973358</v>
      </c>
      <c r="AA24" s="340">
        <f t="shared" si="19"/>
        <v>361.64930565984326</v>
      </c>
    </row>
    <row r="25" spans="1:27" s="386" customFormat="1" ht="31.5" customHeight="1">
      <c r="A25" s="380" t="s">
        <v>533</v>
      </c>
      <c r="B25" s="381" t="s">
        <v>514</v>
      </c>
      <c r="C25" s="382"/>
      <c r="D25" s="383"/>
      <c r="E25" s="384"/>
      <c r="F25" s="384"/>
      <c r="G25" s="384"/>
      <c r="H25" s="378"/>
      <c r="I25" s="378"/>
      <c r="J25" s="378"/>
      <c r="K25" s="378"/>
      <c r="L25" s="378"/>
      <c r="M25" s="378">
        <f>6000</f>
        <v>6000</v>
      </c>
      <c r="N25" s="378">
        <v>1000</v>
      </c>
      <c r="O25" s="378">
        <v>1500</v>
      </c>
      <c r="P25" s="385">
        <v>2000</v>
      </c>
      <c r="Q25" s="385">
        <v>1500</v>
      </c>
      <c r="R25" s="385">
        <f>'IV. Кап. інвестиції'!$E$35/4+'IV. Кап. інвестиції'!$E$38/4</f>
        <v>1217.25</v>
      </c>
      <c r="S25" s="385">
        <f>'IV. Кап. інвестиції'!$E$35/4+'IV. Кап. інвестиції'!$E$38/4</f>
        <v>1217.25</v>
      </c>
      <c r="T25" s="385">
        <f>'IV. Кап. інвестиції'!$E$35/4+'IV. Кап. інвестиції'!$E$38/4</f>
        <v>1217.25</v>
      </c>
      <c r="U25" s="385">
        <f>'IV. Кап. інвестиції'!$E$35/4+'IV. Кап. інвестиції'!$E$38/4</f>
        <v>1217.25</v>
      </c>
      <c r="V25" s="385">
        <f>'IV. Кап. інвестиції'!$E$35/4+'IV. Кап. інвестиції'!$E$38/4</f>
        <v>1217.25</v>
      </c>
      <c r="W25" s="385">
        <f t="shared" si="6"/>
        <v>10869</v>
      </c>
      <c r="X25" s="385">
        <f t="shared" ref="X25" si="20">D25+I25+S25+N25</f>
        <v>2217.25</v>
      </c>
      <c r="Y25" s="385">
        <f t="shared" ref="Y25" si="21">E25+J25+T25+O25</f>
        <v>2717.25</v>
      </c>
      <c r="Z25" s="385">
        <f t="shared" ref="Z25" si="22">F25+K25+U25+P25</f>
        <v>3217.25</v>
      </c>
      <c r="AA25" s="385">
        <f t="shared" ref="AA25" si="23">G25+L25+V25+Q25</f>
        <v>2717.25</v>
      </c>
    </row>
    <row r="26" spans="1:27" s="287" customFormat="1" ht="31.5" customHeight="1">
      <c r="A26" s="288" t="s">
        <v>269</v>
      </c>
      <c r="B26" s="388" t="s">
        <v>230</v>
      </c>
      <c r="C26" s="275">
        <f t="shared" si="0"/>
        <v>0</v>
      </c>
      <c r="D26" s="289"/>
      <c r="E26" s="290"/>
      <c r="F26" s="290"/>
      <c r="G26" s="290"/>
      <c r="H26" s="274">
        <f>H27</f>
        <v>7225</v>
      </c>
      <c r="I26" s="274">
        <f t="shared" ref="I26:L26" si="24">I27</f>
        <v>0</v>
      </c>
      <c r="J26" s="274">
        <f t="shared" si="24"/>
        <v>2408.3333333333335</v>
      </c>
      <c r="K26" s="274">
        <f t="shared" si="24"/>
        <v>2408.3333333333335</v>
      </c>
      <c r="L26" s="274">
        <f t="shared" si="24"/>
        <v>2408.3333333333335</v>
      </c>
      <c r="M26" s="274">
        <f t="shared" si="2"/>
        <v>0</v>
      </c>
      <c r="N26" s="274">
        <f>N27</f>
        <v>0</v>
      </c>
      <c r="O26" s="274">
        <f t="shared" ref="O26:Q26" si="25">O27</f>
        <v>0</v>
      </c>
      <c r="P26" s="44">
        <f t="shared" si="25"/>
        <v>0</v>
      </c>
      <c r="Q26" s="44">
        <f t="shared" si="25"/>
        <v>0</v>
      </c>
      <c r="R26" s="44">
        <f t="shared" si="3"/>
        <v>0</v>
      </c>
      <c r="S26" s="44"/>
      <c r="T26" s="44"/>
      <c r="U26" s="44"/>
      <c r="V26" s="44"/>
      <c r="W26" s="44">
        <f>SUM(X26:AA26)</f>
        <v>7225</v>
      </c>
      <c r="X26" s="44">
        <f t="shared" si="11"/>
        <v>0</v>
      </c>
      <c r="Y26" s="44">
        <f>E26+J26+T26+O26</f>
        <v>2408.3333333333335</v>
      </c>
      <c r="Z26" s="44">
        <f t="shared" si="8"/>
        <v>2408.3333333333335</v>
      </c>
      <c r="AA26" s="44">
        <f t="shared" si="9"/>
        <v>2408.3333333333335</v>
      </c>
    </row>
    <row r="27" spans="1:27" s="286" customFormat="1" ht="57" customHeight="1">
      <c r="A27" s="373" t="s">
        <v>534</v>
      </c>
      <c r="B27" s="374" t="s">
        <v>528</v>
      </c>
      <c r="C27" s="375"/>
      <c r="D27" s="376"/>
      <c r="E27" s="387"/>
      <c r="F27" s="387"/>
      <c r="G27" s="387"/>
      <c r="H27" s="379">
        <v>7225</v>
      </c>
      <c r="I27" s="379">
        <v>0</v>
      </c>
      <c r="J27" s="379">
        <f>$H$27/3</f>
        <v>2408.3333333333335</v>
      </c>
      <c r="K27" s="379">
        <f t="shared" ref="K27:L27" si="26">$H$27/3</f>
        <v>2408.3333333333335</v>
      </c>
      <c r="L27" s="379">
        <f t="shared" si="26"/>
        <v>2408.3333333333335</v>
      </c>
      <c r="M27" s="90">
        <f t="shared" si="2"/>
        <v>0</v>
      </c>
      <c r="N27" s="379"/>
      <c r="O27" s="379"/>
      <c r="P27" s="340"/>
      <c r="Q27" s="340"/>
      <c r="R27" s="340"/>
      <c r="S27" s="340"/>
      <c r="T27" s="340"/>
      <c r="U27" s="340"/>
      <c r="V27" s="340"/>
      <c r="W27" s="340">
        <f>SUM(X27:AA27)</f>
        <v>7225</v>
      </c>
      <c r="X27" s="340">
        <f t="shared" si="11"/>
        <v>0</v>
      </c>
      <c r="Y27" s="340">
        <f t="shared" si="7"/>
        <v>2408.3333333333335</v>
      </c>
      <c r="Z27" s="340">
        <f t="shared" si="8"/>
        <v>2408.3333333333335</v>
      </c>
      <c r="AA27" s="340">
        <f t="shared" si="9"/>
        <v>2408.3333333333335</v>
      </c>
    </row>
    <row r="28" spans="1:27" s="287" customFormat="1" ht="27" customHeight="1">
      <c r="A28" s="508" t="s">
        <v>27</v>
      </c>
      <c r="B28" s="509"/>
      <c r="C28" s="275">
        <f t="shared" ref="C28:V28" si="27">C8+C9+C13+C14+C15+C26</f>
        <v>0</v>
      </c>
      <c r="D28" s="276">
        <f t="shared" si="27"/>
        <v>0</v>
      </c>
      <c r="E28" s="276">
        <f t="shared" si="27"/>
        <v>0</v>
      </c>
      <c r="F28" s="276">
        <f t="shared" si="27"/>
        <v>0</v>
      </c>
      <c r="G28" s="276">
        <f t="shared" si="27"/>
        <v>0</v>
      </c>
      <c r="H28" s="274">
        <f t="shared" si="27"/>
        <v>10225</v>
      </c>
      <c r="I28" s="90">
        <f t="shared" si="27"/>
        <v>3000</v>
      </c>
      <c r="J28" s="90">
        <f t="shared" si="27"/>
        <v>2408.3333333333335</v>
      </c>
      <c r="K28" s="90">
        <f t="shared" si="27"/>
        <v>2408.3333333333335</v>
      </c>
      <c r="L28" s="90">
        <f t="shared" si="27"/>
        <v>2408.3333333333335</v>
      </c>
      <c r="M28" s="274">
        <f t="shared" si="27"/>
        <v>55924.147652</v>
      </c>
      <c r="N28" s="90">
        <f t="shared" si="27"/>
        <v>20612.598964536763</v>
      </c>
      <c r="O28" s="90">
        <f t="shared" si="27"/>
        <v>9419.3952419577181</v>
      </c>
      <c r="P28" s="9">
        <f t="shared" si="27"/>
        <v>8711.4538218125981</v>
      </c>
      <c r="Q28" s="9">
        <f t="shared" si="27"/>
        <v>17180.699623692919</v>
      </c>
      <c r="R28" s="44">
        <f t="shared" si="27"/>
        <v>0</v>
      </c>
      <c r="S28" s="44">
        <f t="shared" si="27"/>
        <v>0</v>
      </c>
      <c r="T28" s="44">
        <f t="shared" si="27"/>
        <v>0</v>
      </c>
      <c r="U28" s="44">
        <f t="shared" si="27"/>
        <v>0</v>
      </c>
      <c r="V28" s="44">
        <f t="shared" si="27"/>
        <v>0</v>
      </c>
      <c r="W28" s="44">
        <f t="shared" si="6"/>
        <v>66149.147652</v>
      </c>
      <c r="X28" s="9">
        <f>X8+X9+X13+X14+X15+X26</f>
        <v>23612.598964536766</v>
      </c>
      <c r="Y28" s="9">
        <f>Y8+Y9+Y13+Y14+Y15+Y26</f>
        <v>11827.728575291052</v>
      </c>
      <c r="Z28" s="9">
        <f>Z8+Z9+Z13+Z14+Z15+Z26</f>
        <v>11119.787155145932</v>
      </c>
      <c r="AA28" s="9">
        <f>AA8+AA9+AA13+AA14+AA15+AA26</f>
        <v>19589.032957026251</v>
      </c>
    </row>
    <row r="29" spans="1:27" ht="18.75">
      <c r="A29" s="504" t="s">
        <v>262</v>
      </c>
      <c r="B29" s="505"/>
      <c r="C29" s="277"/>
      <c r="D29" s="389"/>
      <c r="E29" s="89"/>
      <c r="F29" s="89"/>
      <c r="G29" s="311"/>
      <c r="H29" s="278">
        <f>H28/$W$28</f>
        <v>0.15457493199749264</v>
      </c>
      <c r="I29" s="273"/>
      <c r="J29" s="273"/>
      <c r="K29" s="273"/>
      <c r="L29" s="273"/>
      <c r="M29" s="278">
        <f>M28/$W$28</f>
        <v>0.84542506800250738</v>
      </c>
      <c r="N29" s="273"/>
      <c r="O29" s="273"/>
      <c r="P29" s="52"/>
      <c r="Q29" s="52"/>
      <c r="R29" s="52"/>
      <c r="S29" s="52"/>
      <c r="T29" s="52"/>
      <c r="U29" s="52"/>
      <c r="V29" s="52"/>
      <c r="W29" s="234">
        <f>W28/$W$28</f>
        <v>1</v>
      </c>
      <c r="X29" s="304"/>
      <c r="Y29" s="52"/>
      <c r="Z29" s="304"/>
      <c r="AA29" s="304"/>
    </row>
    <row r="30" spans="1:27" ht="18.75">
      <c r="A30" s="2"/>
      <c r="B30" s="14"/>
      <c r="C30" s="267"/>
      <c r="D30" s="267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"/>
      <c r="Q30" s="2"/>
    </row>
    <row r="31" spans="1:27" ht="18.75">
      <c r="A31" s="2"/>
      <c r="B31" s="14"/>
      <c r="C31" s="267"/>
      <c r="D31" s="267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2"/>
      <c r="Q31" s="2"/>
    </row>
    <row r="32" spans="1:27" ht="18.75" hidden="1" outlineLevel="1">
      <c r="A32" s="497" t="s">
        <v>275</v>
      </c>
      <c r="B32" s="497"/>
      <c r="C32" s="497"/>
      <c r="D32" s="390"/>
      <c r="N32" s="84"/>
      <c r="O32" s="84"/>
      <c r="P32" s="2"/>
      <c r="Q32" s="2"/>
    </row>
    <row r="33" spans="1:17" ht="18.75" hidden="1" outlineLevel="1">
      <c r="A33" s="391"/>
      <c r="N33" s="84"/>
      <c r="O33" s="84"/>
      <c r="P33" s="2"/>
      <c r="Q33" s="2"/>
    </row>
    <row r="34" spans="1:17" ht="18.75" hidden="1" customHeight="1" outlineLevel="1">
      <c r="A34" s="498" t="s">
        <v>270</v>
      </c>
      <c r="B34" s="498" t="s">
        <v>282</v>
      </c>
      <c r="C34" s="501" t="s">
        <v>271</v>
      </c>
      <c r="D34" s="501" t="s">
        <v>276</v>
      </c>
      <c r="E34" s="491" t="s">
        <v>277</v>
      </c>
      <c r="F34" s="491" t="s">
        <v>278</v>
      </c>
      <c r="G34" s="494" t="s">
        <v>61</v>
      </c>
      <c r="H34" s="494"/>
      <c r="I34" s="494"/>
      <c r="J34" s="494"/>
      <c r="K34" s="494"/>
      <c r="L34" s="495" t="s">
        <v>281</v>
      </c>
      <c r="M34" s="484" t="s">
        <v>283</v>
      </c>
      <c r="N34" s="485"/>
      <c r="O34" s="84"/>
      <c r="P34" s="2"/>
      <c r="Q34" s="2"/>
    </row>
    <row r="35" spans="1:17" ht="18.75" hidden="1" outlineLevel="1">
      <c r="A35" s="468"/>
      <c r="B35" s="468"/>
      <c r="C35" s="506"/>
      <c r="D35" s="506"/>
      <c r="E35" s="492"/>
      <c r="F35" s="492"/>
      <c r="G35" s="501" t="s">
        <v>279</v>
      </c>
      <c r="H35" s="501" t="s">
        <v>280</v>
      </c>
      <c r="I35" s="494" t="s">
        <v>272</v>
      </c>
      <c r="J35" s="494"/>
      <c r="K35" s="494"/>
      <c r="L35" s="496"/>
      <c r="M35" s="486"/>
      <c r="N35" s="487"/>
      <c r="O35" s="84"/>
      <c r="P35" s="2"/>
      <c r="Q35" s="2"/>
    </row>
    <row r="36" spans="1:17" ht="102.75" hidden="1" customHeight="1" outlineLevel="1">
      <c r="A36" s="467"/>
      <c r="B36" s="467"/>
      <c r="C36" s="502"/>
      <c r="D36" s="502"/>
      <c r="E36" s="493"/>
      <c r="F36" s="493"/>
      <c r="G36" s="510"/>
      <c r="H36" s="502"/>
      <c r="I36" s="311" t="s">
        <v>273</v>
      </c>
      <c r="J36" s="311" t="s">
        <v>274</v>
      </c>
      <c r="K36" s="312" t="s">
        <v>303</v>
      </c>
      <c r="L36" s="496"/>
      <c r="M36" s="488"/>
      <c r="N36" s="489"/>
      <c r="O36" s="84"/>
      <c r="P36" s="2"/>
      <c r="Q36" s="2"/>
    </row>
    <row r="37" spans="1:17" ht="18.75" hidden="1" outlineLevel="1">
      <c r="A37" s="183">
        <v>1</v>
      </c>
      <c r="B37" s="183">
        <v>2</v>
      </c>
      <c r="C37" s="311">
        <v>3</v>
      </c>
      <c r="D37" s="311">
        <v>4</v>
      </c>
      <c r="E37" s="311">
        <v>5</v>
      </c>
      <c r="F37" s="311">
        <v>6</v>
      </c>
      <c r="G37" s="311">
        <v>7</v>
      </c>
      <c r="H37" s="311">
        <v>8</v>
      </c>
      <c r="I37" s="311">
        <v>9</v>
      </c>
      <c r="J37" s="311">
        <v>10</v>
      </c>
      <c r="K37" s="311">
        <v>11</v>
      </c>
      <c r="L37" s="311">
        <v>12</v>
      </c>
      <c r="M37" s="482">
        <v>13</v>
      </c>
      <c r="N37" s="483"/>
      <c r="O37" s="84"/>
      <c r="P37" s="2"/>
      <c r="Q37" s="2"/>
    </row>
    <row r="38" spans="1:17" ht="18.75" hidden="1" outlineLevel="1">
      <c r="A38" s="68"/>
      <c r="B38" s="69"/>
      <c r="C38" s="279"/>
      <c r="D38" s="279"/>
      <c r="E38" s="279"/>
      <c r="F38" s="279"/>
      <c r="G38" s="279"/>
      <c r="H38" s="279"/>
      <c r="I38" s="279"/>
      <c r="J38" s="279"/>
      <c r="K38" s="279"/>
      <c r="L38" s="280"/>
      <c r="M38" s="482"/>
      <c r="N38" s="483"/>
      <c r="O38" s="84"/>
      <c r="P38" s="2"/>
      <c r="Q38" s="2"/>
    </row>
    <row r="39" spans="1:17" ht="18.75" hidden="1" outlineLevel="1">
      <c r="A39" s="68"/>
      <c r="B39" s="69"/>
      <c r="C39" s="279"/>
      <c r="D39" s="279"/>
      <c r="E39" s="279"/>
      <c r="F39" s="279"/>
      <c r="G39" s="279"/>
      <c r="H39" s="279"/>
      <c r="I39" s="279"/>
      <c r="J39" s="279"/>
      <c r="K39" s="279"/>
      <c r="L39" s="280"/>
      <c r="M39" s="482"/>
      <c r="N39" s="483"/>
      <c r="O39" s="84"/>
      <c r="P39" s="2"/>
      <c r="Q39" s="2"/>
    </row>
    <row r="40" spans="1:17" ht="18.75" hidden="1" outlineLevel="1">
      <c r="A40" s="490" t="s">
        <v>27</v>
      </c>
      <c r="B40" s="490"/>
      <c r="C40" s="490"/>
      <c r="D40" s="281"/>
      <c r="E40" s="281"/>
      <c r="F40" s="281"/>
      <c r="G40" s="281"/>
      <c r="H40" s="281"/>
      <c r="I40" s="281"/>
      <c r="J40" s="281"/>
      <c r="K40" s="281"/>
      <c r="L40" s="280"/>
      <c r="M40" s="482"/>
      <c r="N40" s="483"/>
      <c r="O40" s="84"/>
      <c r="P40" s="2"/>
      <c r="Q40" s="2"/>
    </row>
    <row r="41" spans="1:17" ht="18.75" hidden="1" outlineLevel="1">
      <c r="A41" s="2"/>
      <c r="B41" s="14"/>
      <c r="C41" s="267"/>
      <c r="D41" s="267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2"/>
      <c r="Q41" s="2"/>
    </row>
    <row r="42" spans="1:17" ht="18.75" collapsed="1">
      <c r="A42" s="2"/>
      <c r="B42" s="14"/>
      <c r="C42" s="267"/>
      <c r="D42" s="267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2"/>
      <c r="Q42" s="2"/>
    </row>
    <row r="43" spans="1:17" s="330" customFormat="1" ht="20.25">
      <c r="A43" s="326"/>
      <c r="B43" s="327" t="s">
        <v>368</v>
      </c>
      <c r="C43" s="328"/>
      <c r="D43" s="328"/>
      <c r="E43" s="329" t="s">
        <v>52</v>
      </c>
      <c r="F43" s="329"/>
      <c r="G43" s="329"/>
      <c r="H43" s="329"/>
      <c r="I43" s="329" t="s">
        <v>369</v>
      </c>
      <c r="J43" s="329"/>
      <c r="K43" s="329"/>
      <c r="L43" s="329"/>
      <c r="M43" s="329"/>
      <c r="N43" s="329"/>
      <c r="O43" s="329"/>
      <c r="P43" s="326"/>
      <c r="Q43" s="326"/>
    </row>
    <row r="44" spans="1:17" ht="18.75">
      <c r="A44" s="2"/>
      <c r="B44" s="14"/>
      <c r="C44" s="267"/>
      <c r="D44" s="267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2"/>
      <c r="Q44" s="2"/>
    </row>
    <row r="45" spans="1:17" ht="18.75">
      <c r="A45" s="2"/>
      <c r="B45" s="14"/>
      <c r="C45" s="267"/>
      <c r="D45" s="267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2"/>
      <c r="Q45" s="2"/>
    </row>
  </sheetData>
  <mergeCells count="38">
    <mergeCell ref="G35:G36"/>
    <mergeCell ref="H35:H36"/>
    <mergeCell ref="I35:K35"/>
    <mergeCell ref="D34:D36"/>
    <mergeCell ref="E34:E36"/>
    <mergeCell ref="A2:B2"/>
    <mergeCell ref="A4:A6"/>
    <mergeCell ref="B4:B6"/>
    <mergeCell ref="C4:G4"/>
    <mergeCell ref="A28:B28"/>
    <mergeCell ref="C5:C6"/>
    <mergeCell ref="D5:G5"/>
    <mergeCell ref="A40:C40"/>
    <mergeCell ref="R4:V4"/>
    <mergeCell ref="F34:F36"/>
    <mergeCell ref="G34:K34"/>
    <mergeCell ref="L34:L36"/>
    <mergeCell ref="A32:C32"/>
    <mergeCell ref="A34:A36"/>
    <mergeCell ref="H4:L4"/>
    <mergeCell ref="M4:Q4"/>
    <mergeCell ref="H5:H6"/>
    <mergeCell ref="I5:L5"/>
    <mergeCell ref="M5:M6"/>
    <mergeCell ref="N5:Q5"/>
    <mergeCell ref="A29:B29"/>
    <mergeCell ref="B34:B36"/>
    <mergeCell ref="C34:C36"/>
    <mergeCell ref="M37:N37"/>
    <mergeCell ref="M38:N38"/>
    <mergeCell ref="M39:N39"/>
    <mergeCell ref="M40:N40"/>
    <mergeCell ref="W4:AA4"/>
    <mergeCell ref="R5:R6"/>
    <mergeCell ref="S5:V5"/>
    <mergeCell ref="W5:W6"/>
    <mergeCell ref="X5:AA5"/>
    <mergeCell ref="M34:N36"/>
  </mergeCells>
  <printOptions horizontalCentered="1"/>
  <pageMargins left="0.31496062992125984" right="0.11811023622047245" top="0.55118110236220474" bottom="0.19685039370078741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Фінплан - основні фінпоказники</vt:lpstr>
      <vt:lpstr>I.Розшифрування</vt:lpstr>
      <vt:lpstr>II. Розрахунки з бюджетом</vt:lpstr>
      <vt:lpstr>III. Рух грошових коштів</vt:lpstr>
      <vt:lpstr>IV. Кап. інвестиції</vt:lpstr>
      <vt:lpstr> V. Коефіцієнтний аналіз</vt:lpstr>
      <vt:lpstr>VI. Інформація до фінплану</vt:lpstr>
      <vt:lpstr>VI. Інформація до фінплану2</vt:lpstr>
      <vt:lpstr>' V. Коефіцієнтний аналіз'!Заголовки_для_печати</vt:lpstr>
      <vt:lpstr>I.Розшифрування!Заголовки_для_печати</vt:lpstr>
      <vt:lpstr>'II. Розрахунки з бюджетом'!Заголовки_для_печати</vt:lpstr>
      <vt:lpstr>'III. Рух грошових коштів'!Заголовки_для_печати</vt:lpstr>
      <vt:lpstr>'Фінплан - основні фінпоказники'!Заголовки_для_печати</vt:lpstr>
      <vt:lpstr>' V. Коефіцієнтний аналіз'!Область_печати</vt:lpstr>
      <vt:lpstr>I.Розшифрування!Область_печати</vt:lpstr>
      <vt:lpstr>'II. Розрахунки з бюджетом'!Область_печати</vt:lpstr>
      <vt:lpstr>'III. Рух грошових коштів'!Область_печати</vt:lpstr>
      <vt:lpstr>'IV. Кап. інвестиції'!Область_печати</vt:lpstr>
      <vt:lpstr>'VI. Інформація до фінплану2'!Область_печати</vt:lpstr>
      <vt:lpstr>'Фінплан - основні фінпоказники'!Область_печати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Konova Viktoriya</dc:creator>
  <cp:lastModifiedBy>Голубченко Анна</cp:lastModifiedBy>
  <cp:lastPrinted>2021-08-27T05:39:15Z</cp:lastPrinted>
  <dcterms:created xsi:type="dcterms:W3CDTF">2003-03-13T16:00:22Z</dcterms:created>
  <dcterms:modified xsi:type="dcterms:W3CDTF">2021-08-31T06:09:33Z</dcterms:modified>
</cp:coreProperties>
</file>